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4\04\26\"/>
    </mc:Choice>
  </mc:AlternateContent>
  <xr:revisionPtr revIDLastSave="0" documentId="13_ncr:1_{9E250D6F-0853-424D-A549-525A16F777D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PUSP2 - Личное представление" guid="{EFA3296C-EA11-4228-A03B-6841E5AF525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54" i="4" l="1"/>
  <c r="AC50" i="4"/>
  <c r="AC45" i="4"/>
  <c r="AC38" i="4"/>
  <c r="AC37" i="4" s="1"/>
  <c r="AC31" i="4"/>
  <c r="AC29" i="4"/>
  <c r="AC27" i="4"/>
  <c r="AC24" i="4"/>
  <c r="AC23" i="4" s="1"/>
  <c r="AC22" i="4" s="1"/>
  <c r="AC17" i="4"/>
  <c r="AC9" i="4"/>
  <c r="V28" i="4"/>
  <c r="V26" i="4"/>
  <c r="AC7" i="4" l="1"/>
  <c r="AC8" i="4" s="1"/>
  <c r="V18" i="4"/>
  <c r="AB28" i="4"/>
  <c r="AB26" i="4"/>
  <c r="AF51" i="4" l="1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K14" i="4" l="1"/>
  <c r="AO14" i="4"/>
  <c r="AD50" i="4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AQ19" i="4" s="1"/>
  <c r="Y16" i="4"/>
  <c r="AQ16" i="4" s="1"/>
  <c r="Y15" i="4"/>
  <c r="AQ15" i="4" s="1"/>
  <c r="Y14" i="4"/>
  <c r="AQ14" i="4" s="1"/>
  <c r="Y13" i="4"/>
  <c r="Y12" i="4"/>
  <c r="Y11" i="4"/>
  <c r="AP13" i="4" l="1"/>
  <c r="AQ13" i="4"/>
  <c r="AP12" i="4"/>
  <c r="AQ12" i="4"/>
  <c r="AA28" i="4"/>
  <c r="AA26" i="4"/>
  <c r="U10" i="4" l="1"/>
  <c r="T50" i="4"/>
  <c r="S50" i="4"/>
  <c r="T17" i="4"/>
  <c r="T9" i="4" s="1"/>
  <c r="T24" i="4"/>
  <c r="T27" i="4"/>
  <c r="T23" i="4" s="1"/>
  <c r="T29" i="4"/>
  <c r="T31" i="4"/>
  <c r="T38" i="4"/>
  <c r="T37" i="4" s="1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T22" i="4" l="1"/>
  <c r="T7" i="4" s="1"/>
  <c r="T8" i="4" s="1"/>
  <c r="S7" i="4"/>
  <c r="S8" i="4" s="1"/>
  <c r="AG52" i="4" l="1"/>
  <c r="AG53" i="4"/>
  <c r="AF52" i="4"/>
  <c r="AF35" i="4"/>
  <c r="AF33" i="4"/>
  <c r="Y52" i="4"/>
  <c r="Y53" i="4"/>
  <c r="Y51" i="4"/>
  <c r="AQ51" i="4" s="1"/>
  <c r="V50" i="4"/>
  <c r="W50" i="4"/>
  <c r="X50" i="4"/>
  <c r="U52" i="4"/>
  <c r="U53" i="4"/>
  <c r="U51" i="4"/>
  <c r="U50" i="4" s="1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AQ61" i="4" s="1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AQ59" i="4" s="1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AQ46" i="4" s="1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R17" i="4" s="1"/>
  <c r="P18" i="4"/>
  <c r="M18" i="4"/>
  <c r="K18" i="4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K17" i="4" l="1"/>
  <c r="M37" i="4"/>
  <c r="AK30" i="4"/>
  <c r="AQ30" i="4"/>
  <c r="AO30" i="4"/>
  <c r="AQ58" i="4"/>
  <c r="AQ56" i="4"/>
  <c r="AO55" i="4"/>
  <c r="AF54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O45" i="4" s="1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29" i="4" l="1"/>
  <c r="AO29" i="4"/>
  <c r="AQ45" i="4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T63" i="4"/>
  <c r="U13" i="4"/>
  <c r="U9" i="4" s="1"/>
  <c r="R13" i="4"/>
  <c r="R7" i="4" s="1"/>
  <c r="U7" i="4" l="1"/>
  <c r="U8" i="4" s="1"/>
  <c r="R8" i="4"/>
  <c r="R63" i="4"/>
  <c r="U63" i="4" l="1"/>
</calcChain>
</file>

<file path=xl/sharedStrings.xml><?xml version="1.0" encoding="utf-8"?>
<sst xmlns="http://schemas.openxmlformats.org/spreadsheetml/2006/main" count="131" uniqueCount="107">
  <si>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</si>
  <si>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</si>
  <si>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</si>
  <si>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</si>
  <si>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</si>
  <si>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</si>
  <si>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</si>
  <si>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</si>
  <si>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</si>
  <si>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</si>
  <si>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</si>
  <si>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</si>
  <si>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</si>
  <si>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</si>
  <si>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</si>
  <si>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</si>
  <si>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</si>
  <si>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</si>
  <si>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</si>
  <si>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</si>
  <si>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</si>
  <si>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</si>
  <si>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</si>
  <si>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</si>
  <si>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</si>
  <si>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</si>
  <si>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</si>
  <si>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</si>
  <si>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</si>
  <si>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</si>
  <si>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</si>
  <si>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</si>
  <si>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</si>
  <si>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</si>
  <si>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</si>
  <si>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</si>
  <si>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</si>
  <si>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</si>
  <si>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</si>
  <si>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</si>
  <si>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</si>
  <si>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</si>
  <si>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</si>
  <si>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</si>
  <si>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</si>
  <si>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</si>
  <si>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</si>
  <si>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</si>
  <si>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</si>
  <si>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</si>
  <si>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</si>
  <si>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</si>
  <si>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</si>
  <si>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</si>
  <si>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</si>
  <si>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</si>
  <si>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</si>
  <si>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</si>
  <si>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</si>
  <si>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</si>
  <si>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</si>
  <si>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</si>
  <si>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</si>
  <si>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</si>
  <si>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</si>
  <si>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</si>
  <si>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</si>
  <si>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</si>
  <si>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</si>
  <si>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</si>
  <si>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</si>
  <si>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</si>
  <si>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</si>
  <si>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</si>
  <si>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</si>
  <si>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</si>
  <si>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</si>
  <si>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</si>
  <si>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</si>
  <si>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</si>
  <si>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</si>
  <si>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</si>
  <si>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</si>
  <si>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</si>
  <si>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</si>
  <si>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</si>
  <si>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</si>
  <si>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</si>
  <si>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</si>
  <si>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</si>
  <si>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</si>
  <si>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</si>
  <si>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</si>
  <si>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</si>
  <si>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</si>
  <si>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</si>
  <si>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</si>
  <si>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откл.+- от плана за 4 месяца 2024 года</t>
  </si>
  <si>
    <t>Исполнение бюджета Благодарненского муниципального округа Ставропольского края по доходам по состоянию на 25.04.2024 года</t>
  </si>
  <si>
    <t>Исполнено с 01.01.2023 по 25.04.2023 год</t>
  </si>
  <si>
    <r>
      <t>Исполнено с 01.01.2023 года по 25.04.2023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</si>
  <si>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744 1 13 01994 14 0000 130</t>
  </si>
  <si>
    <t>Исполнение с 01.01.2024 по 18.04.2024
(53,08%)</t>
  </si>
  <si>
    <r>
      <t xml:space="preserve">Исполнение с 01.01.2024 по 25.04.2024
</t>
    </r>
    <r>
      <rPr>
        <b/>
        <sz val="14"/>
        <rFont val="Times New Roman"/>
        <family val="1"/>
        <charset val="204"/>
      </rPr>
      <t>(53,08%)</t>
    </r>
  </si>
  <si>
    <t>с 12.04.2024 по 18.04.2024 (неделя) П</t>
  </si>
  <si>
    <t>с 19.04.2024 по 25.04.2024 (неделя) Т</t>
  </si>
  <si>
    <t>откл.+- от исполнения на 25.04.2023 г  (в сопоставимых условиях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</si>
</sst>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left" vertical="top" wrapText="1"/>
      <protection hidden="1"/>
    </xf>
    <xf numFmtId="4" fontId="5" fillId="0" borderId="0" xfId="1" applyNumberFormat="1" applyFont="1" applyAlignment="1">
      <alignment horizontal="center"/>
    </xf>
    <xf numFmtId="0" fontId="4" fillId="3" borderId="12" xfId="1" applyFont="1" applyFill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 wrapText="1"/>
      <protection hidden="1"/>
    </xf>
    <xf numFmtId="0" fontId="4" fillId="3" borderId="14" xfId="1" applyFont="1" applyFill="1" applyBorder="1" applyAlignment="1" applyProtection="1">
      <alignment horizontal="center" vertical="center" wrapText="1"/>
      <protection hidden="1"/>
    </xf>
    <xf numFmtId="0" fontId="4" fillId="3" borderId="15" xfId="1" applyFont="1" applyFill="1" applyBorder="1" applyAlignment="1" applyProtection="1">
      <alignment horizontal="center" vertical="center" wrapText="1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N1" sqref="AN1:AO104857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4.28515625" style="1" hidden="1" customWidth="1"/>
    <col min="23" max="23" width="21.85546875" style="1" hidden="1" customWidth="1"/>
    <col min="24" max="24" width="23.14062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hidden="1" customWidth="1"/>
    <col min="29" max="29" width="22.140625" style="1" hidden="1" customWidth="1"/>
    <col min="30" max="30" width="22" style="1" hidden="1" customWidth="1"/>
    <col min="31" max="31" width="27.7109375" style="1" hidden="1" customWidth="1"/>
    <col min="32" max="32" width="26.7109375" style="1" customWidth="1"/>
    <col min="33" max="33" width="21.42578125" style="1" hidden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hidden="1" customWidth="1"/>
    <col min="41" max="41" width="13" style="1" hidden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17" t="s">
        <v>98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15.800166380149912</v>
      </c>
      <c r="U3" s="104"/>
      <c r="V3" s="106">
        <f>V8/S8%</f>
        <v>17.937145928490086</v>
      </c>
      <c r="W3" s="106"/>
      <c r="X3" s="105"/>
      <c r="Y3" s="80"/>
      <c r="Z3" s="80">
        <f>U3-Y63</f>
        <v>-737235345.42597985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18" t="s">
        <v>34</v>
      </c>
      <c r="J4" s="119" t="s">
        <v>45</v>
      </c>
      <c r="K4" s="119" t="s">
        <v>51</v>
      </c>
      <c r="L4" s="120" t="s">
        <v>56</v>
      </c>
      <c r="M4" s="119" t="s">
        <v>54</v>
      </c>
      <c r="N4" s="119" t="s">
        <v>53</v>
      </c>
      <c r="O4" s="120" t="s">
        <v>50</v>
      </c>
      <c r="P4" s="119" t="s">
        <v>63</v>
      </c>
      <c r="Q4" s="120" t="s">
        <v>65</v>
      </c>
      <c r="R4" s="119" t="s">
        <v>64</v>
      </c>
      <c r="S4" s="126" t="s">
        <v>82</v>
      </c>
      <c r="T4" s="120" t="s">
        <v>81</v>
      </c>
      <c r="U4" s="119" t="s">
        <v>83</v>
      </c>
      <c r="V4" s="120" t="s">
        <v>99</v>
      </c>
      <c r="W4" s="121" t="s">
        <v>75</v>
      </c>
      <c r="X4" s="134" t="s">
        <v>80</v>
      </c>
      <c r="Y4" s="119" t="s">
        <v>100</v>
      </c>
      <c r="Z4" s="128" t="s">
        <v>66</v>
      </c>
      <c r="AA4" s="140" t="s">
        <v>95</v>
      </c>
      <c r="AB4" s="141"/>
      <c r="AC4" s="127" t="s">
        <v>57</v>
      </c>
      <c r="AD4" s="127"/>
      <c r="AE4" s="130" t="s">
        <v>102</v>
      </c>
      <c r="AF4" s="119" t="s">
        <v>103</v>
      </c>
      <c r="AG4" s="124" t="s">
        <v>43</v>
      </c>
      <c r="AH4" s="126" t="s">
        <v>67</v>
      </c>
      <c r="AI4" s="126"/>
      <c r="AJ4" s="127" t="s">
        <v>94</v>
      </c>
      <c r="AK4" s="127"/>
      <c r="AL4" s="127" t="s">
        <v>52</v>
      </c>
      <c r="AM4" s="127"/>
      <c r="AN4" s="127" t="s">
        <v>97</v>
      </c>
      <c r="AO4" s="127"/>
      <c r="AP4" s="127" t="s">
        <v>106</v>
      </c>
      <c r="AQ4" s="127"/>
      <c r="AR4" s="127" t="s">
        <v>55</v>
      </c>
      <c r="AS4" s="127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18"/>
      <c r="J5" s="119"/>
      <c r="K5" s="119"/>
      <c r="L5" s="120"/>
      <c r="M5" s="119"/>
      <c r="N5" s="119"/>
      <c r="O5" s="120"/>
      <c r="P5" s="119"/>
      <c r="Q5" s="120"/>
      <c r="R5" s="119"/>
      <c r="S5" s="126"/>
      <c r="T5" s="120"/>
      <c r="U5" s="119"/>
      <c r="V5" s="120"/>
      <c r="W5" s="122"/>
      <c r="X5" s="134"/>
      <c r="Y5" s="119"/>
      <c r="Z5" s="129"/>
      <c r="AA5" s="142"/>
      <c r="AB5" s="143"/>
      <c r="AC5" s="79" t="s">
        <v>104</v>
      </c>
      <c r="AD5" s="79" t="s">
        <v>105</v>
      </c>
      <c r="AE5" s="131"/>
      <c r="AF5" s="119"/>
      <c r="AG5" s="125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32" t="s">
        <v>8</v>
      </c>
      <c r="C7" s="132"/>
      <c r="D7" s="132"/>
      <c r="E7" s="132"/>
      <c r="F7" s="132"/>
      <c r="G7" s="132"/>
      <c r="H7" s="132"/>
      <c r="I7" s="132"/>
      <c r="J7" s="44">
        <f t="shared" ref="J7:P7" si="0">J10+J11+J13+J14+J15+J16+J17+J20+J23+J36+J37+J45+J48+J50+J12</f>
        <v>360649780.94999993</v>
      </c>
      <c r="K7" s="44">
        <f t="shared" si="0"/>
        <v>345578207.62513435</v>
      </c>
      <c r="L7" s="44">
        <f t="shared" si="0"/>
        <v>126453042.85999998</v>
      </c>
      <c r="M7" s="44">
        <f t="shared" si="0"/>
        <v>121571901.18554319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82547247.939999998</v>
      </c>
      <c r="W7" s="44">
        <f>V7/S7%</f>
        <v>20.141509753042609</v>
      </c>
      <c r="X7" s="44">
        <f>X9+X22</f>
        <v>0</v>
      </c>
      <c r="Y7" s="44">
        <f>Y9+Y22</f>
        <v>101664494.69597989</v>
      </c>
      <c r="Z7" s="44">
        <f t="shared" ref="Z7:AF7" si="2">Z9+Z22</f>
        <v>400415099.64999998</v>
      </c>
      <c r="AA7" s="44">
        <f t="shared" si="2"/>
        <v>578105570.37</v>
      </c>
      <c r="AB7" s="44">
        <f t="shared" si="2"/>
        <v>166088365.17000002</v>
      </c>
      <c r="AC7" s="44">
        <f t="shared" si="2"/>
        <v>3635569.9399999995</v>
      </c>
      <c r="AD7" s="44">
        <f t="shared" ref="AD7" si="3">AD9+AD22</f>
        <v>-2375348.9699999997</v>
      </c>
      <c r="AE7" s="44">
        <v>142915881.43000001</v>
      </c>
      <c r="AF7" s="44">
        <f t="shared" si="2"/>
        <v>140540532.46000001</v>
      </c>
      <c r="AG7" s="44">
        <f>AD7-AC7</f>
        <v>-6010918.9099999992</v>
      </c>
      <c r="AH7" s="44">
        <f t="shared" ref="AH7:AH63" si="4">AF7-Z7</f>
        <v>-259874567.18999997</v>
      </c>
      <c r="AI7" s="44">
        <f t="shared" ref="AI7:AI28" si="5">AF7/Z7*100</f>
        <v>35.098709459969292</v>
      </c>
      <c r="AJ7" s="44">
        <f>AF7-AA7</f>
        <v>-437565037.90999997</v>
      </c>
      <c r="AK7" s="44">
        <f>AF7/AA7%</f>
        <v>24.310530751338554</v>
      </c>
      <c r="AL7" s="44" t="e">
        <f>AF7-#REF!</f>
        <v>#REF!</v>
      </c>
      <c r="AM7" s="44" t="e">
        <f>IF(#REF!=0,0,AF7/#REF!*100)</f>
        <v>#REF!</v>
      </c>
      <c r="AN7" s="44">
        <f>AF7-AB7</f>
        <v>-25547832.710000008</v>
      </c>
      <c r="AO7" s="44">
        <f>AF7/AB7*100</f>
        <v>84.617927520780583</v>
      </c>
      <c r="AP7" s="44">
        <f>AF7-Y7</f>
        <v>38876037.764020115</v>
      </c>
      <c r="AQ7" s="44">
        <f>AF7/Y7%</f>
        <v>138.23954260558321</v>
      </c>
      <c r="AR7" s="44">
        <f>AF7-M7</f>
        <v>18968631.274456814</v>
      </c>
      <c r="AS7" s="44">
        <f>IF(M7=0,0,AF7/M7*100)</f>
        <v>115.60280878186389</v>
      </c>
      <c r="AT7" s="45" t="e">
        <f>AT10+AT11+AT13+AT14+AT15+AT16+AT17+AT20+AT23+AT36+AT37+AT45+AT48+AT50+AT12</f>
        <v>#REF!</v>
      </c>
    </row>
    <row r="8" spans="1:47" s="10" customFormat="1" ht="99" hidden="1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66381975.819999993</v>
      </c>
      <c r="W8" s="44">
        <f t="shared" ref="W8:W9" si="7">V8/S8%</f>
        <v>17.937145928490086</v>
      </c>
      <c r="X8" s="52">
        <f t="shared" ref="X8:AC8" si="8">X7-X37-X53</f>
        <v>0</v>
      </c>
      <c r="Y8" s="52">
        <f t="shared" si="8"/>
        <v>85499222.575979888</v>
      </c>
      <c r="Z8" s="52">
        <f t="shared" si="8"/>
        <v>372608810</v>
      </c>
      <c r="AA8" s="52">
        <f t="shared" si="8"/>
        <v>545150607.50999999</v>
      </c>
      <c r="AB8" s="52">
        <f t="shared" si="8"/>
        <v>151583179.98000002</v>
      </c>
      <c r="AC8" s="52">
        <f t="shared" si="8"/>
        <v>2367642.2499999995</v>
      </c>
      <c r="AD8" s="52">
        <f t="shared" ref="AD8" si="9">AD7-AD37-AD53</f>
        <v>-2861300.8</v>
      </c>
      <c r="AE8" s="52">
        <v>127745812.32000001</v>
      </c>
      <c r="AF8" s="52">
        <f>AF7-AF37-AF53</f>
        <v>124884511.52</v>
      </c>
      <c r="AG8" s="51">
        <f t="shared" ref="AG8:AG63" si="10">AD8-AC8</f>
        <v>-5228943.0499999989</v>
      </c>
      <c r="AH8" s="64">
        <f t="shared" si="4"/>
        <v>-247724298.48000002</v>
      </c>
      <c r="AI8" s="64">
        <f t="shared" si="5"/>
        <v>33.516253016132389</v>
      </c>
      <c r="AJ8" s="51">
        <f t="shared" ref="AJ8:AJ62" si="11">AF8-AA8</f>
        <v>-420266095.99000001</v>
      </c>
      <c r="AK8" s="51">
        <f>AF8/AA8%</f>
        <v>22.90825870861919</v>
      </c>
      <c r="AL8" s="51"/>
      <c r="AM8" s="51"/>
      <c r="AN8" s="64">
        <f t="shared" ref="AN8:AN63" si="12">AF8-AB8</f>
        <v>-26698668.460000023</v>
      </c>
      <c r="AO8" s="64">
        <f t="shared" ref="AO8:AO63" si="13">AF8/AB8*100</f>
        <v>82.386786935382489</v>
      </c>
      <c r="AP8" s="51">
        <f t="shared" ref="AP8:AP63" si="14">AF8-Y8</f>
        <v>39385288.944020107</v>
      </c>
      <c r="AQ8" s="51">
        <f>AF8/Y8%</f>
        <v>146.06508428660845</v>
      </c>
      <c r="AR8" s="23"/>
      <c r="AS8" s="23"/>
      <c r="AT8" s="49"/>
    </row>
    <row r="9" spans="1:47" s="10" customFormat="1" ht="30" hidden="1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68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51091431.990000002</v>
      </c>
      <c r="W9" s="44">
        <f t="shared" si="7"/>
        <v>15.800166380149912</v>
      </c>
      <c r="X9" s="70">
        <f t="shared" si="16"/>
        <v>0</v>
      </c>
      <c r="Y9" s="70">
        <f>Y10+Y11+Y12+Y13+Y14+Y15+Y16+Y17+Y20+Y21</f>
        <v>70208678.74597989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134163156.84</v>
      </c>
      <c r="AC9" s="70">
        <f t="shared" ref="AC9" si="17">AC10+AC11+AC12+AC13+AC14+AC15+AC16+AC17+AC20+AC21</f>
        <v>1384221.41</v>
      </c>
      <c r="AD9" s="70">
        <f t="shared" ref="AD9" si="18">AD10+AD11+AD12+AD13+AD14+AD15+AD16+AD17+AD20+AD21</f>
        <v>-144278.92000000016</v>
      </c>
      <c r="AE9" s="70">
        <v>109173002.50999999</v>
      </c>
      <c r="AF9" s="70">
        <f>AF10+AF11+AF12+AF13+AF14+AF15+AF16+AF17+AF20+AF21</f>
        <v>109028723.59000002</v>
      </c>
      <c r="AG9" s="71">
        <f t="shared" si="10"/>
        <v>-1528500.33</v>
      </c>
      <c r="AH9" s="72"/>
      <c r="AI9" s="72"/>
      <c r="AJ9" s="71">
        <f t="shared" si="11"/>
        <v>-384861613.91999996</v>
      </c>
      <c r="AK9" s="71">
        <f>AF9/AA9%</f>
        <v>22.07549233290932</v>
      </c>
      <c r="AL9" s="73"/>
      <c r="AM9" s="73"/>
      <c r="AN9" s="72">
        <f t="shared" si="12"/>
        <v>-25134433.249999985</v>
      </c>
      <c r="AO9" s="72">
        <f t="shared" si="13"/>
        <v>81.265770840518641</v>
      </c>
      <c r="AP9" s="71">
        <f t="shared" si="14"/>
        <v>38820044.844020128</v>
      </c>
      <c r="AQ9" s="71">
        <f>AF9/Y9%</f>
        <v>155.29237344641376</v>
      </c>
      <c r="AR9" s="23"/>
      <c r="AS9" s="23"/>
      <c r="AT9" s="49"/>
    </row>
    <row r="10" spans="1:47" s="10" customFormat="1" ht="91.5" hidden="1" customHeight="1" x14ac:dyDescent="0.3">
      <c r="A10" s="9"/>
      <c r="B10" s="133" t="s">
        <v>26</v>
      </c>
      <c r="C10" s="133"/>
      <c r="D10" s="133"/>
      <c r="E10" s="133"/>
      <c r="F10" s="133"/>
      <c r="G10" s="133"/>
      <c r="H10" s="133"/>
      <c r="I10" s="133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28657868.960000001</v>
      </c>
      <c r="W10" s="12"/>
      <c r="X10" s="46"/>
      <c r="Y10" s="47">
        <f>V10/31.84%*53.08%</f>
        <v>47775115.715979896</v>
      </c>
      <c r="Z10" s="46">
        <v>188231000</v>
      </c>
      <c r="AA10" s="46">
        <v>340259137.50999999</v>
      </c>
      <c r="AB10" s="46">
        <v>88800287.840000004</v>
      </c>
      <c r="AC10" s="46">
        <v>2710.75</v>
      </c>
      <c r="AD10" s="46">
        <v>-555467.55000000005</v>
      </c>
      <c r="AE10" s="46">
        <v>72740392.470000014</v>
      </c>
      <c r="AF10" s="46">
        <f>AE10+AD10</f>
        <v>72184924.920000017</v>
      </c>
      <c r="AG10" s="46">
        <f t="shared" si="10"/>
        <v>-558178.30000000005</v>
      </c>
      <c r="AH10" s="44">
        <f t="shared" si="4"/>
        <v>-116046075.07999998</v>
      </c>
      <c r="AI10" s="44">
        <f t="shared" si="5"/>
        <v>38.349116202963387</v>
      </c>
      <c r="AJ10" s="46">
        <f t="shared" si="11"/>
        <v>-268074212.58999997</v>
      </c>
      <c r="AK10" s="44">
        <f t="shared" ref="AK10:AK63" si="19">AF10/AA10%</f>
        <v>21.214691087576906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-16615362.919999987</v>
      </c>
      <c r="AO10" s="44">
        <f t="shared" si="13"/>
        <v>81.289066371116419</v>
      </c>
      <c r="AP10" s="46">
        <f t="shared" si="14"/>
        <v>24409809.20402012</v>
      </c>
      <c r="AQ10" s="44">
        <f t="shared" ref="AQ10:AQ19" si="20">AF10/Y10%</f>
        <v>151.09314512001379</v>
      </c>
      <c r="AR10" s="46">
        <f t="shared" ref="AR10:AR20" si="21">AF10-M10</f>
        <v>13349474.824456796</v>
      </c>
      <c r="AS10" s="46">
        <f t="shared" ref="AS10:AS20" si="22">IF(M10=0,0,AF10/M10*100)</f>
        <v>122.68950913569712</v>
      </c>
      <c r="AT10" s="48" t="e">
        <f>#REF!</f>
        <v>#REF!</v>
      </c>
      <c r="AU10" s="86"/>
    </row>
    <row r="11" spans="1:47" s="10" customFormat="1" ht="61.5" hidden="1" customHeight="1" x14ac:dyDescent="0.3">
      <c r="A11" s="9"/>
      <c r="B11" s="123" t="s">
        <v>25</v>
      </c>
      <c r="C11" s="123"/>
      <c r="D11" s="123"/>
      <c r="E11" s="123"/>
      <c r="F11" s="123"/>
      <c r="G11" s="123"/>
      <c r="H11" s="123"/>
      <c r="I11" s="123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7691137.0700000003</v>
      </c>
      <c r="W11" s="12"/>
      <c r="X11" s="12"/>
      <c r="Y11" s="12">
        <f t="shared" ref="Y11:Y16" si="23">V11</f>
        <v>7691137.0700000003</v>
      </c>
      <c r="Z11" s="12">
        <v>28603900</v>
      </c>
      <c r="AA11" s="12">
        <v>32294200</v>
      </c>
      <c r="AB11" s="12">
        <v>10366360</v>
      </c>
      <c r="AC11" s="12">
        <v>0</v>
      </c>
      <c r="AD11" s="12">
        <v>0</v>
      </c>
      <c r="AE11" s="12">
        <v>8212604.4299999997</v>
      </c>
      <c r="AF11" s="12">
        <f t="shared" ref="AF11:AF62" si="24">AE11+AD11</f>
        <v>8212604.4299999997</v>
      </c>
      <c r="AG11" s="12">
        <f t="shared" si="10"/>
        <v>0</v>
      </c>
      <c r="AH11" s="44">
        <f t="shared" si="4"/>
        <v>-20391295.57</v>
      </c>
      <c r="AI11" s="44">
        <f t="shared" si="5"/>
        <v>28.711484902408412</v>
      </c>
      <c r="AJ11" s="12">
        <f t="shared" si="11"/>
        <v>-24081595.57</v>
      </c>
      <c r="AK11" s="44">
        <f t="shared" si="19"/>
        <v>25.430586390125779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-2153755.5700000003</v>
      </c>
      <c r="AO11" s="44">
        <f>AF11/AB11*100</f>
        <v>79.223608190338751</v>
      </c>
      <c r="AP11" s="12">
        <f t="shared" si="14"/>
        <v>521467.3599999994</v>
      </c>
      <c r="AQ11" s="44">
        <f t="shared" si="20"/>
        <v>106.78010748285884</v>
      </c>
      <c r="AR11" s="12">
        <f t="shared" si="21"/>
        <v>318679.31999999937</v>
      </c>
      <c r="AS11" s="12">
        <f t="shared" si="22"/>
        <v>104.03701980395401</v>
      </c>
      <c r="AT11" s="34">
        <v>24865000</v>
      </c>
    </row>
    <row r="12" spans="1:47" s="10" customFormat="1" ht="45.75" hidden="1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5">J12</f>
        <v>0</v>
      </c>
      <c r="L12" s="12">
        <v>0</v>
      </c>
      <c r="M12" s="36">
        <f t="shared" ref="M12" si="26">L12</f>
        <v>0</v>
      </c>
      <c r="N12" s="12">
        <v>8810490.5399999991</v>
      </c>
      <c r="O12" s="12">
        <v>9529840.7599999998</v>
      </c>
      <c r="P12" s="12">
        <f t="shared" ref="P12:P15" si="27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1162446.6499999999</v>
      </c>
      <c r="W12" s="12"/>
      <c r="X12" s="12"/>
      <c r="Y12" s="12">
        <f t="shared" si="23"/>
        <v>1162446.6499999999</v>
      </c>
      <c r="Z12" s="12">
        <v>11972000</v>
      </c>
      <c r="AA12" s="12">
        <v>27969000</v>
      </c>
      <c r="AB12" s="12">
        <v>9894011</v>
      </c>
      <c r="AC12" s="12">
        <v>-127843.24</v>
      </c>
      <c r="AD12" s="12">
        <v>-69120.25</v>
      </c>
      <c r="AE12" s="12">
        <v>2306850.7399999998</v>
      </c>
      <c r="AF12" s="12">
        <f t="shared" si="24"/>
        <v>2237730.4899999998</v>
      </c>
      <c r="AG12" s="12">
        <f t="shared" si="10"/>
        <v>58722.990000000005</v>
      </c>
      <c r="AH12" s="44">
        <f t="shared" si="4"/>
        <v>-9734269.5099999998</v>
      </c>
      <c r="AI12" s="44">
        <f t="shared" si="5"/>
        <v>18.691367273638487</v>
      </c>
      <c r="AJ12" s="12">
        <f t="shared" si="11"/>
        <v>-25731269.510000002</v>
      </c>
      <c r="AK12" s="44">
        <f t="shared" si="19"/>
        <v>8.0007525832171318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-7656280.5099999998</v>
      </c>
      <c r="AO12" s="44">
        <f t="shared" si="13"/>
        <v>22.617020437919464</v>
      </c>
      <c r="AP12" s="12">
        <f t="shared" si="14"/>
        <v>1075283.8399999999</v>
      </c>
      <c r="AQ12" s="44">
        <f t="shared" si="20"/>
        <v>192.50177975909691</v>
      </c>
      <c r="AR12" s="12">
        <f t="shared" si="21"/>
        <v>2237730.4899999998</v>
      </c>
      <c r="AS12" s="12">
        <f t="shared" si="22"/>
        <v>0</v>
      </c>
      <c r="AT12" s="34">
        <f>AF12</f>
        <v>2237730.4899999998</v>
      </c>
    </row>
    <row r="13" spans="1:47" s="10" customFormat="1" ht="70.5" hidden="1" customHeight="1" x14ac:dyDescent="0.3">
      <c r="A13" s="9"/>
      <c r="B13" s="123" t="s">
        <v>24</v>
      </c>
      <c r="C13" s="123"/>
      <c r="D13" s="123"/>
      <c r="E13" s="123"/>
      <c r="F13" s="123"/>
      <c r="G13" s="123"/>
      <c r="H13" s="123"/>
      <c r="I13" s="123"/>
      <c r="J13" s="12">
        <v>11880184.26</v>
      </c>
      <c r="K13" s="12">
        <f t="shared" si="25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7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8">T13</f>
        <v>-283271.29000000004</v>
      </c>
      <c r="V13" s="12">
        <v>-366754.96</v>
      </c>
      <c r="W13" s="12"/>
      <c r="X13" s="12"/>
      <c r="Y13" s="12">
        <f t="shared" si="23"/>
        <v>-366754.96</v>
      </c>
      <c r="Z13" s="12">
        <v>8000</v>
      </c>
      <c r="AA13" s="12">
        <v>0</v>
      </c>
      <c r="AB13" s="12">
        <v>0</v>
      </c>
      <c r="AC13" s="12">
        <v>0</v>
      </c>
      <c r="AD13" s="12">
        <v>0</v>
      </c>
      <c r="AE13" s="12">
        <v>-618.75999999999976</v>
      </c>
      <c r="AF13" s="12">
        <f t="shared" si="24"/>
        <v>-618.75999999999976</v>
      </c>
      <c r="AG13" s="12">
        <f t="shared" si="10"/>
        <v>0</v>
      </c>
      <c r="AH13" s="44">
        <f t="shared" si="4"/>
        <v>-8618.76</v>
      </c>
      <c r="AI13" s="44">
        <f t="shared" si="5"/>
        <v>-7.734499999999997</v>
      </c>
      <c r="AJ13" s="12">
        <f t="shared" si="11"/>
        <v>-618.75999999999976</v>
      </c>
      <c r="AK13" s="115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-618.75999999999976</v>
      </c>
      <c r="AO13" s="115">
        <v>0</v>
      </c>
      <c r="AP13" s="12">
        <f t="shared" si="14"/>
        <v>366136.2</v>
      </c>
      <c r="AQ13" s="44">
        <f t="shared" si="20"/>
        <v>0.16871210139871037</v>
      </c>
      <c r="AR13" s="12">
        <f t="shared" si="21"/>
        <v>-5415297.6200000001</v>
      </c>
      <c r="AS13" s="12">
        <f t="shared" si="22"/>
        <v>-1.1427455182448249E-2</v>
      </c>
      <c r="AT13" s="34">
        <f>AF13</f>
        <v>-618.75999999999976</v>
      </c>
      <c r="AU13" s="86" t="s">
        <v>74</v>
      </c>
    </row>
    <row r="14" spans="1:47" s="10" customFormat="1" ht="42.75" hidden="1" customHeight="1" x14ac:dyDescent="0.3">
      <c r="A14" s="9"/>
      <c r="B14" s="123" t="s">
        <v>23</v>
      </c>
      <c r="C14" s="123"/>
      <c r="D14" s="123"/>
      <c r="E14" s="123"/>
      <c r="F14" s="123"/>
      <c r="G14" s="123"/>
      <c r="H14" s="123"/>
      <c r="I14" s="123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4101109.79</v>
      </c>
      <c r="W14" s="12"/>
      <c r="X14" s="12"/>
      <c r="Y14" s="12">
        <f t="shared" si="23"/>
        <v>4101109.79</v>
      </c>
      <c r="Z14" s="12">
        <v>5814000</v>
      </c>
      <c r="AA14" s="12">
        <v>7692000</v>
      </c>
      <c r="AB14" s="12">
        <v>7692000</v>
      </c>
      <c r="AC14" s="12">
        <v>164338.96</v>
      </c>
      <c r="AD14" s="12">
        <v>28147.74</v>
      </c>
      <c r="AE14" s="12">
        <v>8813618.4900000021</v>
      </c>
      <c r="AF14" s="12">
        <f t="shared" si="24"/>
        <v>8841766.2300000023</v>
      </c>
      <c r="AG14" s="12">
        <f t="shared" si="10"/>
        <v>-136191.22</v>
      </c>
      <c r="AH14" s="44">
        <f t="shared" si="4"/>
        <v>3027766.2300000023</v>
      </c>
      <c r="AI14" s="44">
        <f t="shared" si="5"/>
        <v>152.07716253869975</v>
      </c>
      <c r="AJ14" s="12">
        <f t="shared" si="11"/>
        <v>1149766.2300000023</v>
      </c>
      <c r="AK14" s="44">
        <f t="shared" si="19"/>
        <v>114.94755889235573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1149766.2300000023</v>
      </c>
      <c r="AO14" s="44">
        <f t="shared" si="13"/>
        <v>114.94755889235573</v>
      </c>
      <c r="AP14" s="12">
        <f t="shared" si="14"/>
        <v>4740656.4400000023</v>
      </c>
      <c r="AQ14" s="44">
        <f t="shared" si="20"/>
        <v>215.59447765966789</v>
      </c>
      <c r="AR14" s="12">
        <f t="shared" si="21"/>
        <v>5274688.3700000029</v>
      </c>
      <c r="AS14" s="12">
        <f t="shared" si="22"/>
        <v>247.87141119482047</v>
      </c>
      <c r="AT14" s="34">
        <f>AF14</f>
        <v>8841766.2300000023</v>
      </c>
      <c r="AU14" s="86"/>
    </row>
    <row r="15" spans="1:47" s="10" customFormat="1" ht="99" hidden="1" customHeight="1" x14ac:dyDescent="0.3">
      <c r="A15" s="9"/>
      <c r="B15" s="123" t="s">
        <v>22</v>
      </c>
      <c r="C15" s="123"/>
      <c r="D15" s="123"/>
      <c r="E15" s="123"/>
      <c r="F15" s="123"/>
      <c r="G15" s="123"/>
      <c r="H15" s="123"/>
      <c r="I15" s="123"/>
      <c r="J15" s="12">
        <v>199821.72</v>
      </c>
      <c r="K15" s="12">
        <f t="shared" ref="K15" si="29">J15</f>
        <v>199821.72</v>
      </c>
      <c r="L15" s="12">
        <v>141824.35999999999</v>
      </c>
      <c r="M15" s="12">
        <f t="shared" ref="M15" si="30">L15</f>
        <v>141824.35999999999</v>
      </c>
      <c r="N15" s="12">
        <v>4514274.29</v>
      </c>
      <c r="O15" s="12">
        <v>6011745.4100000001</v>
      </c>
      <c r="P15" s="12">
        <f t="shared" si="27"/>
        <v>6011745.4100000001</v>
      </c>
      <c r="Q15" s="12">
        <v>6011745.4100000001</v>
      </c>
      <c r="R15" s="12">
        <f t="shared" ref="R15" si="31">Q15</f>
        <v>6011745.4100000001</v>
      </c>
      <c r="S15" s="12">
        <v>2368000</v>
      </c>
      <c r="T15" s="12">
        <v>2659940.33</v>
      </c>
      <c r="U15" s="12">
        <f t="shared" si="28"/>
        <v>2659940.33</v>
      </c>
      <c r="V15" s="12">
        <v>2726962.1</v>
      </c>
      <c r="W15" s="12"/>
      <c r="X15" s="12"/>
      <c r="Y15" s="12">
        <f t="shared" si="23"/>
        <v>2726962.1</v>
      </c>
      <c r="Z15" s="12">
        <v>8168000</v>
      </c>
      <c r="AA15" s="12">
        <v>6694000</v>
      </c>
      <c r="AB15" s="12">
        <v>4553204</v>
      </c>
      <c r="AC15" s="12">
        <v>-3126.67</v>
      </c>
      <c r="AD15" s="12">
        <v>63227.45</v>
      </c>
      <c r="AE15" s="12">
        <v>6504128.4899999993</v>
      </c>
      <c r="AF15" s="12">
        <f t="shared" si="24"/>
        <v>6567355.9399999995</v>
      </c>
      <c r="AG15" s="12">
        <f t="shared" si="10"/>
        <v>66354.12</v>
      </c>
      <c r="AH15" s="44">
        <f t="shared" si="4"/>
        <v>-1600644.0600000005</v>
      </c>
      <c r="AI15" s="44">
        <f t="shared" si="5"/>
        <v>80.403476248775704</v>
      </c>
      <c r="AJ15" s="12">
        <f t="shared" si="11"/>
        <v>-126644.06000000052</v>
      </c>
      <c r="AK15" s="44">
        <f t="shared" si="19"/>
        <v>98.108095906782182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2014151.9399999995</v>
      </c>
      <c r="AO15" s="44">
        <f t="shared" si="13"/>
        <v>144.23592573493303</v>
      </c>
      <c r="AP15" s="12">
        <f t="shared" si="14"/>
        <v>3840393.8399999994</v>
      </c>
      <c r="AQ15" s="44">
        <f t="shared" si="20"/>
        <v>240.8304809223421</v>
      </c>
      <c r="AR15" s="12">
        <f t="shared" si="21"/>
        <v>6425531.5799999991</v>
      </c>
      <c r="AS15" s="12">
        <f t="shared" si="22"/>
        <v>4630.6261773365304</v>
      </c>
      <c r="AT15" s="34">
        <f>AF15</f>
        <v>6567355.9399999995</v>
      </c>
      <c r="AU15" s="86"/>
    </row>
    <row r="16" spans="1:47" s="10" customFormat="1" ht="65.25" hidden="1" customHeight="1" x14ac:dyDescent="0.3">
      <c r="A16" s="9"/>
      <c r="B16" s="123" t="s">
        <v>21</v>
      </c>
      <c r="C16" s="123"/>
      <c r="D16" s="123"/>
      <c r="E16" s="123"/>
      <c r="F16" s="123"/>
      <c r="G16" s="123"/>
      <c r="H16" s="123"/>
      <c r="I16" s="123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55474.39</v>
      </c>
      <c r="W16" s="12"/>
      <c r="X16" s="12"/>
      <c r="Y16" s="12">
        <f t="shared" si="23"/>
        <v>55474.39</v>
      </c>
      <c r="Z16" s="12">
        <v>15443000</v>
      </c>
      <c r="AA16" s="12">
        <v>14460000</v>
      </c>
      <c r="AB16" s="12">
        <v>1135580</v>
      </c>
      <c r="AC16" s="12">
        <v>36702.620000000003</v>
      </c>
      <c r="AD16" s="12">
        <v>29337.05</v>
      </c>
      <c r="AE16" s="12">
        <v>1135085.9500000002</v>
      </c>
      <c r="AF16" s="12">
        <f t="shared" si="24"/>
        <v>1164423.0000000002</v>
      </c>
      <c r="AG16" s="12">
        <f t="shared" si="10"/>
        <v>-7365.5700000000033</v>
      </c>
      <c r="AH16" s="44">
        <f t="shared" si="4"/>
        <v>-14278577</v>
      </c>
      <c r="AI16" s="44">
        <f t="shared" si="5"/>
        <v>7.5401346888557947</v>
      </c>
      <c r="AJ16" s="12">
        <f t="shared" si="11"/>
        <v>-13295577</v>
      </c>
      <c r="AK16" s="44">
        <f t="shared" si="19"/>
        <v>8.0527178423236538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28843.000000000233</v>
      </c>
      <c r="AO16" s="44">
        <f t="shared" si="13"/>
        <v>102.5399355395481</v>
      </c>
      <c r="AP16" s="12">
        <f t="shared" si="14"/>
        <v>1108948.6100000003</v>
      </c>
      <c r="AQ16" s="44">
        <f t="shared" si="20"/>
        <v>2099.0280379829328</v>
      </c>
      <c r="AR16" s="12">
        <f t="shared" si="21"/>
        <v>3744.1100000003353</v>
      </c>
      <c r="AS16" s="12">
        <f t="shared" si="22"/>
        <v>100.32257931390485</v>
      </c>
      <c r="AT16" s="34">
        <v>11117000</v>
      </c>
      <c r="AU16" s="86"/>
    </row>
    <row r="17" spans="1:47" s="10" customFormat="1" ht="24" hidden="1" customHeight="1" x14ac:dyDescent="0.3">
      <c r="A17" s="9"/>
      <c r="B17" s="123" t="s">
        <v>19</v>
      </c>
      <c r="C17" s="123"/>
      <c r="D17" s="123"/>
      <c r="E17" s="123"/>
      <c r="F17" s="123"/>
      <c r="G17" s="123"/>
      <c r="H17" s="123"/>
      <c r="I17" s="123"/>
      <c r="J17" s="12">
        <f t="shared" ref="J17:AF17" si="32">J18+J19</f>
        <v>59077329.089999996</v>
      </c>
      <c r="K17" s="12">
        <f t="shared" si="32"/>
        <v>59077329.089999996</v>
      </c>
      <c r="L17" s="12">
        <f t="shared" si="32"/>
        <v>13651268.75</v>
      </c>
      <c r="M17" s="12">
        <f t="shared" si="32"/>
        <v>13651268.75</v>
      </c>
      <c r="N17" s="12">
        <f t="shared" si="32"/>
        <v>57000020</v>
      </c>
      <c r="O17" s="12">
        <f t="shared" si="32"/>
        <v>59153838.839999996</v>
      </c>
      <c r="P17" s="12">
        <f t="shared" si="32"/>
        <v>59153838.839999996</v>
      </c>
      <c r="Q17" s="12">
        <v>59153838.839999996</v>
      </c>
      <c r="R17" s="12">
        <f t="shared" si="32"/>
        <v>59153838.839999996</v>
      </c>
      <c r="S17" s="12">
        <f t="shared" si="32"/>
        <v>54189000</v>
      </c>
      <c r="T17" s="12">
        <f t="shared" si="32"/>
        <v>55922478.88000001</v>
      </c>
      <c r="U17" s="12">
        <f t="shared" ref="U17:X17" si="33">U18+U19</f>
        <v>55922478.88000001</v>
      </c>
      <c r="V17" s="12">
        <f t="shared" si="33"/>
        <v>5249673.67</v>
      </c>
      <c r="W17" s="12"/>
      <c r="X17" s="12">
        <f t="shared" si="33"/>
        <v>0</v>
      </c>
      <c r="Y17" s="12">
        <f>Y18+Y19</f>
        <v>5249673.67</v>
      </c>
      <c r="Z17" s="12">
        <f t="shared" ref="Z17:AC17" si="34">Z18+Z19</f>
        <v>57489000</v>
      </c>
      <c r="AA17" s="12">
        <f t="shared" si="34"/>
        <v>56779000</v>
      </c>
      <c r="AB17" s="12">
        <f t="shared" si="34"/>
        <v>9655249</v>
      </c>
      <c r="AC17" s="12">
        <f t="shared" si="34"/>
        <v>1162537.57</v>
      </c>
      <c r="AD17" s="12">
        <f t="shared" ref="AD17" si="35">AD18+AD19</f>
        <v>152632.65</v>
      </c>
      <c r="AE17" s="12">
        <v>7402768.4599999981</v>
      </c>
      <c r="AF17" s="12">
        <f t="shared" si="32"/>
        <v>7555401.1099999985</v>
      </c>
      <c r="AG17" s="12">
        <f t="shared" si="10"/>
        <v>-1009904.92</v>
      </c>
      <c r="AH17" s="44">
        <f t="shared" si="4"/>
        <v>-49933598.890000001</v>
      </c>
      <c r="AI17" s="44">
        <f t="shared" si="5"/>
        <v>13.142342204595659</v>
      </c>
      <c r="AJ17" s="12">
        <f t="shared" si="11"/>
        <v>-49223598.890000001</v>
      </c>
      <c r="AK17" s="44">
        <f t="shared" si="19"/>
        <v>13.306682241673856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-2099847.8900000015</v>
      </c>
      <c r="AO17" s="44">
        <f t="shared" si="13"/>
        <v>78.25174793524225</v>
      </c>
      <c r="AP17" s="12">
        <f t="shared" si="14"/>
        <v>2305727.4399999985</v>
      </c>
      <c r="AQ17" s="44">
        <f t="shared" si="20"/>
        <v>143.92134797209209</v>
      </c>
      <c r="AR17" s="12">
        <f t="shared" si="21"/>
        <v>-6095867.6400000015</v>
      </c>
      <c r="AS17" s="12">
        <f t="shared" si="22"/>
        <v>55.345779563529575</v>
      </c>
      <c r="AT17" s="34">
        <f>AT18+AT19</f>
        <v>7555401.1099999985</v>
      </c>
      <c r="AU17" s="5"/>
    </row>
    <row r="18" spans="1:47" s="5" customFormat="1" ht="63.75" hidden="1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4745961.04-1299</f>
        <v>4744662.04</v>
      </c>
      <c r="W18" s="53"/>
      <c r="X18" s="53"/>
      <c r="Y18" s="13">
        <f>V18</f>
        <v>4744662.04</v>
      </c>
      <c r="Z18" s="66">
        <v>23363753.050000001</v>
      </c>
      <c r="AA18" s="66">
        <v>22995495</v>
      </c>
      <c r="AB18" s="16">
        <v>7903565</v>
      </c>
      <c r="AC18" s="13">
        <v>1098053.73</v>
      </c>
      <c r="AD18" s="13">
        <v>123150</v>
      </c>
      <c r="AE18" s="13">
        <v>5454985.9899999984</v>
      </c>
      <c r="AF18" s="13">
        <f t="shared" si="24"/>
        <v>5578135.9899999984</v>
      </c>
      <c r="AG18" s="13">
        <f t="shared" si="10"/>
        <v>-974903.73</v>
      </c>
      <c r="AH18" s="44">
        <f t="shared" si="4"/>
        <v>-17785617.060000002</v>
      </c>
      <c r="AI18" s="44">
        <f t="shared" si="5"/>
        <v>23.875170988421306</v>
      </c>
      <c r="AJ18" s="13">
        <f t="shared" si="11"/>
        <v>-17417359.010000002</v>
      </c>
      <c r="AK18" s="44">
        <f t="shared" si="19"/>
        <v>24.257516483119836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-2325429.0100000016</v>
      </c>
      <c r="AO18" s="44">
        <f t="shared" si="13"/>
        <v>70.577467130339272</v>
      </c>
      <c r="AP18" s="13">
        <f t="shared" si="14"/>
        <v>833473.94999999832</v>
      </c>
      <c r="AQ18" s="44">
        <f t="shared" si="20"/>
        <v>117.56656096837612</v>
      </c>
      <c r="AR18" s="13">
        <f t="shared" si="21"/>
        <v>-4507480.5200000014</v>
      </c>
      <c r="AS18" s="13">
        <f t="shared" si="22"/>
        <v>55.30783353173517</v>
      </c>
      <c r="AT18" s="31">
        <f>AF18</f>
        <v>5578135.9899999984</v>
      </c>
      <c r="AU18" s="86"/>
    </row>
    <row r="19" spans="1:47" s="5" customFormat="1" ht="61.5" hidden="1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505011.63</v>
      </c>
      <c r="W19" s="53"/>
      <c r="X19" s="53"/>
      <c r="Y19" s="13">
        <f>V19</f>
        <v>505011.63</v>
      </c>
      <c r="Z19" s="66">
        <v>34125246.950000003</v>
      </c>
      <c r="AA19" s="66">
        <v>33783505</v>
      </c>
      <c r="AB19" s="16">
        <v>1751684</v>
      </c>
      <c r="AC19" s="13">
        <v>64483.839999999997</v>
      </c>
      <c r="AD19" s="13">
        <v>29482.65</v>
      </c>
      <c r="AE19" s="13">
        <v>1947782.47</v>
      </c>
      <c r="AF19" s="13">
        <f t="shared" si="24"/>
        <v>1977265.1199999999</v>
      </c>
      <c r="AG19" s="13">
        <f t="shared" si="10"/>
        <v>-35001.189999999995</v>
      </c>
      <c r="AH19" s="44">
        <f t="shared" si="4"/>
        <v>-32147981.830000002</v>
      </c>
      <c r="AI19" s="44">
        <f t="shared" si="5"/>
        <v>5.7941415717725659</v>
      </c>
      <c r="AJ19" s="13">
        <f t="shared" si="11"/>
        <v>-31806239.879999999</v>
      </c>
      <c r="AK19" s="44">
        <f t="shared" si="19"/>
        <v>5.8527530521181861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225581.11999999988</v>
      </c>
      <c r="AO19" s="44">
        <f t="shared" si="13"/>
        <v>112.87795743981219</v>
      </c>
      <c r="AP19" s="13">
        <f t="shared" si="14"/>
        <v>1472253.4899999998</v>
      </c>
      <c r="AQ19" s="44">
        <f t="shared" si="20"/>
        <v>391.52863073668226</v>
      </c>
      <c r="AR19" s="13">
        <f t="shared" si="21"/>
        <v>-1588387.1200000003</v>
      </c>
      <c r="AS19" s="13">
        <f t="shared" si="22"/>
        <v>55.453111714562489</v>
      </c>
      <c r="AT19" s="31">
        <f>AF19</f>
        <v>1977265.1199999999</v>
      </c>
      <c r="AU19" s="86"/>
    </row>
    <row r="20" spans="1:47" s="10" customFormat="1" ht="30.75" hidden="1" customHeight="1" x14ac:dyDescent="0.3">
      <c r="A20" s="9"/>
      <c r="B20" s="123" t="s">
        <v>18</v>
      </c>
      <c r="C20" s="123"/>
      <c r="D20" s="123"/>
      <c r="E20" s="123"/>
      <c r="F20" s="123"/>
      <c r="G20" s="123"/>
      <c r="H20" s="123"/>
      <c r="I20" s="123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1813514.32</v>
      </c>
      <c r="W20" s="12"/>
      <c r="X20" s="12"/>
      <c r="Y20" s="12">
        <f>V20</f>
        <v>1813514.32</v>
      </c>
      <c r="Z20" s="12">
        <v>7706000</v>
      </c>
      <c r="AA20" s="12">
        <v>7743000</v>
      </c>
      <c r="AB20" s="12">
        <v>2066465</v>
      </c>
      <c r="AC20" s="12">
        <v>148901.42000000001</v>
      </c>
      <c r="AD20" s="12">
        <v>206963.99</v>
      </c>
      <c r="AE20" s="12">
        <v>2058172.24</v>
      </c>
      <c r="AF20" s="12">
        <f t="shared" si="24"/>
        <v>2265136.23</v>
      </c>
      <c r="AG20" s="12">
        <f t="shared" si="10"/>
        <v>58062.569999999978</v>
      </c>
      <c r="AH20" s="44">
        <f t="shared" si="4"/>
        <v>-5440863.7699999996</v>
      </c>
      <c r="AI20" s="44">
        <f t="shared" si="5"/>
        <v>29.394448871009605</v>
      </c>
      <c r="AJ20" s="12">
        <f t="shared" si="11"/>
        <v>-5477863.7699999996</v>
      </c>
      <c r="AK20" s="44">
        <f t="shared" si="19"/>
        <v>29.253987214258039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198671.22999999998</v>
      </c>
      <c r="AO20" s="44">
        <f t="shared" si="13"/>
        <v>109.61406217864808</v>
      </c>
      <c r="AP20" s="12">
        <f t="shared" si="14"/>
        <v>451621.90999999992</v>
      </c>
      <c r="AQ20" s="44">
        <f t="shared" ref="AQ20:AQ63" si="36">AF20/Y20%</f>
        <v>124.90313448420963</v>
      </c>
      <c r="AR20" s="12">
        <f t="shared" si="21"/>
        <v>-808883.23</v>
      </c>
      <c r="AS20" s="12">
        <f t="shared" si="22"/>
        <v>73.68646358536715</v>
      </c>
      <c r="AT20" s="34">
        <f>AF20</f>
        <v>2265136.23</v>
      </c>
      <c r="AU20" s="86"/>
    </row>
    <row r="21" spans="1:47" s="10" customFormat="1" ht="62.25" hidden="1" customHeight="1" x14ac:dyDescent="0.3">
      <c r="A21" s="9"/>
      <c r="B21" s="135" t="s">
        <v>58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4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hidden="1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69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7">S23+S36+S37+S45+S48+S50</f>
        <v>86476358.480000004</v>
      </c>
      <c r="T22" s="71">
        <f t="shared" si="37"/>
        <v>93832615.929999977</v>
      </c>
      <c r="U22" s="71">
        <f>U23+U36+U37+U45+U48+U50</f>
        <v>91729067.069999978</v>
      </c>
      <c r="V22" s="71">
        <f>V23+V36+V37+V45+V48+V50</f>
        <v>31455815.950000003</v>
      </c>
      <c r="W22" s="71"/>
      <c r="X22" s="71">
        <f t="shared" ref="X22:AC22" si="38">X23+X36+X37+X45+X48+X50</f>
        <v>0</v>
      </c>
      <c r="Y22" s="71">
        <f t="shared" si="38"/>
        <v>31455815.950000003</v>
      </c>
      <c r="Z22" s="71">
        <f t="shared" si="38"/>
        <v>76980199.650000006</v>
      </c>
      <c r="AA22" s="71">
        <f t="shared" si="38"/>
        <v>84215232.859999999</v>
      </c>
      <c r="AB22" s="71">
        <f t="shared" si="38"/>
        <v>31925208.329999998</v>
      </c>
      <c r="AC22" s="71">
        <f t="shared" si="38"/>
        <v>2251348.5299999998</v>
      </c>
      <c r="AD22" s="71">
        <f t="shared" ref="AD22" si="39">AD23+AD36+AD37+AD45+AD48+AD50</f>
        <v>-2231070.0499999998</v>
      </c>
      <c r="AE22" s="71">
        <v>33742878.920000002</v>
      </c>
      <c r="AF22" s="71">
        <f>AF23+AF36+AF37+AF45+AF48+AF50</f>
        <v>31511808.869999997</v>
      </c>
      <c r="AG22" s="71">
        <f t="shared" ref="AG22" si="40">AD22-AC22</f>
        <v>-4482418.58</v>
      </c>
      <c r="AH22" s="72">
        <f t="shared" si="4"/>
        <v>-45468390.780000009</v>
      </c>
      <c r="AI22" s="72">
        <f t="shared" ref="AI22" si="41">AF22/Z22*100</f>
        <v>40.934953420843712</v>
      </c>
      <c r="AJ22" s="71">
        <f t="shared" si="11"/>
        <v>-52703423.990000002</v>
      </c>
      <c r="AK22" s="72">
        <f t="shared" ref="AK22" si="42">AF22/AA22%</f>
        <v>37.418181722997133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-413399.46000000089</v>
      </c>
      <c r="AO22" s="72">
        <f t="shared" ref="AO22" si="43">AF22/AB22*100</f>
        <v>98.705100196287418</v>
      </c>
      <c r="AP22" s="71">
        <f t="shared" si="14"/>
        <v>55992.919999994338</v>
      </c>
      <c r="AQ22" s="72">
        <f t="shared" ref="AQ22" si="44">AF22/Y22%</f>
        <v>100.17800498352673</v>
      </c>
      <c r="AR22" s="12"/>
      <c r="AS22" s="12"/>
      <c r="AT22" s="34"/>
    </row>
    <row r="23" spans="1:47" s="10" customFormat="1" ht="83.25" hidden="1" customHeight="1" x14ac:dyDescent="0.3">
      <c r="A23" s="9"/>
      <c r="B23" s="123" t="s">
        <v>17</v>
      </c>
      <c r="C23" s="123"/>
      <c r="D23" s="123"/>
      <c r="E23" s="123"/>
      <c r="F23" s="123"/>
      <c r="G23" s="123"/>
      <c r="H23" s="123"/>
      <c r="I23" s="123"/>
      <c r="J23" s="60">
        <f t="shared" ref="J23:AF23" si="45">J24+J27+J29+J31</f>
        <v>39449619.330000006</v>
      </c>
      <c r="K23" s="60">
        <f t="shared" si="45"/>
        <v>39449619.330000006</v>
      </c>
      <c r="L23" s="60">
        <f t="shared" si="45"/>
        <v>10238465.989999998</v>
      </c>
      <c r="M23" s="60">
        <f t="shared" si="45"/>
        <v>10238465.989999998</v>
      </c>
      <c r="N23" s="12">
        <f t="shared" si="45"/>
        <v>42188190.339999996</v>
      </c>
      <c r="O23" s="12">
        <f t="shared" si="45"/>
        <v>49536681.379999995</v>
      </c>
      <c r="P23" s="12">
        <f t="shared" si="45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6">S24+S27+S29+S31</f>
        <v>42777461.119999997</v>
      </c>
      <c r="T23" s="12">
        <f t="shared" si="46"/>
        <v>47630236.639999993</v>
      </c>
      <c r="U23" s="12">
        <f>U24+U27+U29+U31</f>
        <v>46969616.779999994</v>
      </c>
      <c r="V23" s="12">
        <f t="shared" ref="V23:X23" si="47">V24+V27+V29+V31</f>
        <v>13938039.510000002</v>
      </c>
      <c r="W23" s="12"/>
      <c r="X23" s="12">
        <f t="shared" si="47"/>
        <v>0</v>
      </c>
      <c r="Y23" s="12">
        <f>Y24+Y27+Y29+Y31</f>
        <v>13938039.510000002</v>
      </c>
      <c r="Z23" s="12">
        <f t="shared" ref="Z23:AB23" si="48">Z24+Z27+Z29+Z31</f>
        <v>47029000</v>
      </c>
      <c r="AA23" s="12">
        <f t="shared" si="48"/>
        <v>49534190</v>
      </c>
      <c r="AB23" s="12">
        <f t="shared" si="48"/>
        <v>16565319.91</v>
      </c>
      <c r="AC23" s="12">
        <f>AC24+AC27+AC29+AC31</f>
        <v>917864.54</v>
      </c>
      <c r="AD23" s="12">
        <f>AD24+AD27+AD29+AD31</f>
        <v>730246.23</v>
      </c>
      <c r="AE23" s="12">
        <v>13249390.4</v>
      </c>
      <c r="AF23" s="12">
        <f t="shared" si="45"/>
        <v>13979636.630000001</v>
      </c>
      <c r="AG23" s="12">
        <f t="shared" si="10"/>
        <v>-187618.31000000006</v>
      </c>
      <c r="AH23" s="44">
        <f t="shared" si="4"/>
        <v>-33049363.369999997</v>
      </c>
      <c r="AI23" s="44">
        <f t="shared" si="5"/>
        <v>29.725566416466435</v>
      </c>
      <c r="AJ23" s="12">
        <f t="shared" si="11"/>
        <v>-35554553.369999997</v>
      </c>
      <c r="AK23" s="44">
        <f t="shared" si="19"/>
        <v>28.222196890672887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-2585683.2799999993</v>
      </c>
      <c r="AO23" s="44">
        <f t="shared" si="13"/>
        <v>84.390984936915729</v>
      </c>
      <c r="AP23" s="12">
        <f t="shared" si="14"/>
        <v>41597.11999999918</v>
      </c>
      <c r="AQ23" s="44">
        <f t="shared" si="36"/>
        <v>100.29844312014006</v>
      </c>
      <c r="AR23" s="12">
        <f>AF23-M23</f>
        <v>3741170.6400000025</v>
      </c>
      <c r="AS23" s="12">
        <f>IF(M23=0,0,AF23/M23*100)</f>
        <v>136.54034348167036</v>
      </c>
      <c r="AT23" s="34">
        <f>AT24+AT27+AT29+AT31</f>
        <v>13625367.560000001</v>
      </c>
    </row>
    <row r="24" spans="1:47" s="5" customFormat="1" ht="114.75" hidden="1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70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9">U25+U26</f>
        <v>44043460.589999996</v>
      </c>
      <c r="V24" s="12">
        <f>V25+V26</f>
        <v>13187525.210000001</v>
      </c>
      <c r="W24" s="13"/>
      <c r="X24" s="13">
        <f t="shared" si="49"/>
        <v>0</v>
      </c>
      <c r="Y24" s="12">
        <f t="shared" si="49"/>
        <v>13187525.210000001</v>
      </c>
      <c r="Z24" s="12">
        <f t="shared" si="49"/>
        <v>46880510</v>
      </c>
      <c r="AA24" s="12">
        <f>AA25+AA26</f>
        <v>48200367.740000002</v>
      </c>
      <c r="AB24" s="12">
        <f>AB25+AB26</f>
        <v>15830450</v>
      </c>
      <c r="AC24" s="12">
        <f>AC25+AC26</f>
        <v>882610.27</v>
      </c>
      <c r="AD24" s="12">
        <f>AD25+AD26</f>
        <v>690253.73</v>
      </c>
      <c r="AE24" s="12">
        <v>12416170.129999999</v>
      </c>
      <c r="AF24" s="12">
        <f t="shared" ref="AF24" si="50">AF25+AF26</f>
        <v>13106423.859999999</v>
      </c>
      <c r="AG24" s="12">
        <f>AD24-AC24</f>
        <v>-192356.54000000004</v>
      </c>
      <c r="AH24" s="44">
        <f t="shared" si="4"/>
        <v>-33774086.140000001</v>
      </c>
      <c r="AI24" s="44">
        <f t="shared" si="5"/>
        <v>27.957084639224274</v>
      </c>
      <c r="AJ24" s="12">
        <f t="shared" si="11"/>
        <v>-35093943.880000003</v>
      </c>
      <c r="AK24" s="44">
        <f t="shared" si="19"/>
        <v>27.191543290080297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-2724026.1400000006</v>
      </c>
      <c r="AO24" s="44">
        <f t="shared" si="13"/>
        <v>82.792490800956386</v>
      </c>
      <c r="AP24" s="12">
        <f t="shared" si="14"/>
        <v>-81101.35000000149</v>
      </c>
      <c r="AQ24" s="44">
        <f t="shared" si="36"/>
        <v>99.385014635357791</v>
      </c>
      <c r="AR24" s="12">
        <f>AF24-M24</f>
        <v>3238279.25</v>
      </c>
      <c r="AS24" s="12">
        <f>IF(M24=0,0,AF24/M24*100)</f>
        <v>132.81548232196002</v>
      </c>
      <c r="AT24" s="31">
        <f>AF24</f>
        <v>13106423.859999999</v>
      </c>
    </row>
    <row r="25" spans="1:47" s="5" customFormat="1" ht="37.5" hidden="1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71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10031417.75</v>
      </c>
      <c r="W25" s="13"/>
      <c r="X25" s="13"/>
      <c r="Y25" s="13">
        <f>V25</f>
        <v>10031417.75</v>
      </c>
      <c r="Z25" s="13">
        <v>34696660</v>
      </c>
      <c r="AA25" s="13">
        <v>36508280</v>
      </c>
      <c r="AB25" s="13">
        <v>11581500</v>
      </c>
      <c r="AC25" s="13">
        <v>391316.03</v>
      </c>
      <c r="AD25" s="13">
        <v>131399.9</v>
      </c>
      <c r="AE25" s="13">
        <v>9383318.6600000001</v>
      </c>
      <c r="AF25" s="13">
        <f t="shared" si="24"/>
        <v>9514718.5600000005</v>
      </c>
      <c r="AG25" s="13">
        <f>AD25-AC25</f>
        <v>-259916.13000000003</v>
      </c>
      <c r="AH25" s="44">
        <f t="shared" si="4"/>
        <v>-25181941.439999998</v>
      </c>
      <c r="AI25" s="44">
        <f t="shared" si="5"/>
        <v>27.422577735147996</v>
      </c>
      <c r="AJ25" s="13">
        <f t="shared" si="11"/>
        <v>-26993561.439999998</v>
      </c>
      <c r="AK25" s="42">
        <f t="shared" si="19"/>
        <v>26.061809978448728</v>
      </c>
      <c r="AL25" s="13"/>
      <c r="AM25" s="13"/>
      <c r="AN25" s="42">
        <f t="shared" si="12"/>
        <v>-2066781.4399999995</v>
      </c>
      <c r="AO25" s="42">
        <f t="shared" si="13"/>
        <v>82.154458058109924</v>
      </c>
      <c r="AP25" s="13">
        <f t="shared" si="14"/>
        <v>-516699.18999999948</v>
      </c>
      <c r="AQ25" s="42">
        <f t="shared" si="36"/>
        <v>94.849190783625772</v>
      </c>
      <c r="AR25" s="12"/>
      <c r="AS25" s="12"/>
      <c r="AT25" s="31"/>
    </row>
    <row r="26" spans="1:47" s="5" customFormat="1" ht="81.75" hidden="1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84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1989459.04+1166648.42</f>
        <v>3156107.46</v>
      </c>
      <c r="W26" s="16"/>
      <c r="X26" s="16"/>
      <c r="Y26" s="13">
        <f>V26</f>
        <v>3156107.46</v>
      </c>
      <c r="Z26" s="13">
        <v>12183850</v>
      </c>
      <c r="AA26" s="13">
        <f>6966987.74+4725100</f>
        <v>11692087.74</v>
      </c>
      <c r="AB26" s="13">
        <f>2583750+1665200</f>
        <v>4248950</v>
      </c>
      <c r="AC26" s="13">
        <v>491294.24</v>
      </c>
      <c r="AD26" s="13">
        <v>558853.82999999996</v>
      </c>
      <c r="AE26" s="13">
        <v>3032851.4699999997</v>
      </c>
      <c r="AF26" s="13">
        <f t="shared" si="24"/>
        <v>3591705.3</v>
      </c>
      <c r="AG26" s="13">
        <f>AD26-AC26</f>
        <v>67559.589999999967</v>
      </c>
      <c r="AH26" s="44">
        <f t="shared" si="4"/>
        <v>-8592144.6999999993</v>
      </c>
      <c r="AI26" s="44">
        <f t="shared" si="5"/>
        <v>29.47923111331804</v>
      </c>
      <c r="AJ26" s="12">
        <f t="shared" si="11"/>
        <v>-8100382.4400000004</v>
      </c>
      <c r="AK26" s="42">
        <f t="shared" si="19"/>
        <v>30.719110050058518</v>
      </c>
      <c r="AL26" s="13"/>
      <c r="AM26" s="13"/>
      <c r="AN26" s="42">
        <f t="shared" si="12"/>
        <v>-657244.70000000019</v>
      </c>
      <c r="AO26" s="42">
        <f t="shared" si="13"/>
        <v>84.531597218136241</v>
      </c>
      <c r="AP26" s="13">
        <f t="shared" si="14"/>
        <v>435597.83999999985</v>
      </c>
      <c r="AQ26" s="42">
        <f t="shared" si="36"/>
        <v>113.80174298627968</v>
      </c>
      <c r="AR26" s="12"/>
      <c r="AS26" s="12"/>
      <c r="AT26" s="31"/>
      <c r="AU26" s="107" t="s">
        <v>96</v>
      </c>
    </row>
    <row r="27" spans="1:47" s="5" customFormat="1" ht="80.25" hidden="1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72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1">S28</f>
        <v>989651.62</v>
      </c>
      <c r="T27" s="12">
        <f t="shared" si="51"/>
        <v>1733380.9700000002</v>
      </c>
      <c r="U27" s="13">
        <f t="shared" ref="U27:AB27" si="52">U28</f>
        <v>1733380.9700000002</v>
      </c>
      <c r="V27" s="12">
        <f t="shared" si="52"/>
        <v>444282.64</v>
      </c>
      <c r="W27" s="13"/>
      <c r="X27" s="13"/>
      <c r="Y27" s="12">
        <f t="shared" si="52"/>
        <v>444282.64</v>
      </c>
      <c r="Z27" s="12">
        <f t="shared" si="52"/>
        <v>100490</v>
      </c>
      <c r="AA27" s="12">
        <f t="shared" si="52"/>
        <v>549832.26</v>
      </c>
      <c r="AB27" s="12">
        <f t="shared" si="52"/>
        <v>379953.26999999996</v>
      </c>
      <c r="AC27" s="12">
        <f>AC28</f>
        <v>8403</v>
      </c>
      <c r="AD27" s="12">
        <f>AD28</f>
        <v>22468.07</v>
      </c>
      <c r="AE27" s="12">
        <v>466168.23</v>
      </c>
      <c r="AF27" s="12">
        <f t="shared" ref="AF27" si="53">AF28</f>
        <v>488636.3</v>
      </c>
      <c r="AG27" s="12">
        <f t="shared" si="10"/>
        <v>14065.07</v>
      </c>
      <c r="AH27" s="44">
        <f t="shared" si="4"/>
        <v>388146.3</v>
      </c>
      <c r="AI27" s="44">
        <f t="shared" si="5"/>
        <v>486.25365708030648</v>
      </c>
      <c r="AJ27" s="12">
        <f t="shared" si="11"/>
        <v>-61195.960000000021</v>
      </c>
      <c r="AK27" s="44">
        <f t="shared" si="19"/>
        <v>88.870067391098502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108683.03000000003</v>
      </c>
      <c r="AO27" s="44">
        <f t="shared" si="13"/>
        <v>128.60431494641432</v>
      </c>
      <c r="AP27" s="12">
        <f t="shared" si="14"/>
        <v>44353.659999999974</v>
      </c>
      <c r="AQ27" s="44">
        <f t="shared" si="36"/>
        <v>109.98320798669964</v>
      </c>
      <c r="AR27" s="12">
        <f>AF27-M27</f>
        <v>154910.45999999996</v>
      </c>
      <c r="AS27" s="12">
        <f>IF(M27=0,0,AF27/M27*100)</f>
        <v>146.41847931224024</v>
      </c>
      <c r="AT27" s="31">
        <f>AF27</f>
        <v>488636.3</v>
      </c>
    </row>
    <row r="28" spans="1:47" s="5" customFormat="1" ht="105" hidden="1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85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129488.99+314793.65</f>
        <v>444282.64</v>
      </c>
      <c r="W28" s="16"/>
      <c r="X28" s="16"/>
      <c r="Y28" s="16">
        <f>V28</f>
        <v>444282.64</v>
      </c>
      <c r="Z28" s="16">
        <v>100490</v>
      </c>
      <c r="AA28" s="16">
        <f>109952.06+439880.2</f>
        <v>549832.26</v>
      </c>
      <c r="AB28" s="16">
        <f>84850.79+295102.48</f>
        <v>379953.26999999996</v>
      </c>
      <c r="AC28" s="13">
        <v>8403</v>
      </c>
      <c r="AD28" s="13">
        <v>22468.07</v>
      </c>
      <c r="AE28" s="13">
        <v>466168.23</v>
      </c>
      <c r="AF28" s="13">
        <f t="shared" si="24"/>
        <v>488636.3</v>
      </c>
      <c r="AG28" s="13">
        <f>AD28-AC28</f>
        <v>14065.07</v>
      </c>
      <c r="AH28" s="44">
        <f t="shared" si="4"/>
        <v>388146.3</v>
      </c>
      <c r="AI28" s="44">
        <f t="shared" si="5"/>
        <v>486.25365708030648</v>
      </c>
      <c r="AJ28" s="13">
        <f t="shared" si="11"/>
        <v>-61195.960000000021</v>
      </c>
      <c r="AK28" s="42">
        <f t="shared" si="19"/>
        <v>88.870067391098502</v>
      </c>
      <c r="AL28" s="16"/>
      <c r="AM28" s="16"/>
      <c r="AN28" s="42">
        <f t="shared" si="12"/>
        <v>108683.03000000003</v>
      </c>
      <c r="AO28" s="42">
        <f t="shared" si="13"/>
        <v>128.60431494641432</v>
      </c>
      <c r="AP28" s="13">
        <f t="shared" si="14"/>
        <v>44353.659999999974</v>
      </c>
      <c r="AQ28" s="42">
        <f t="shared" si="36"/>
        <v>109.98320798669964</v>
      </c>
      <c r="AR28" s="12"/>
      <c r="AS28" s="12"/>
      <c r="AT28" s="31"/>
      <c r="AU28" s="102"/>
    </row>
    <row r="29" spans="1:47" s="10" customFormat="1" ht="48" hidden="1" customHeight="1" x14ac:dyDescent="0.3">
      <c r="A29" s="9"/>
      <c r="B29" s="137" t="s">
        <v>16</v>
      </c>
      <c r="C29" s="137"/>
      <c r="D29" s="137"/>
      <c r="E29" s="137"/>
      <c r="F29" s="137"/>
      <c r="G29" s="137"/>
      <c r="H29" s="137"/>
      <c r="I29" s="137"/>
      <c r="J29" s="12">
        <f t="shared" ref="J29:AB29" si="54">J30</f>
        <v>13500</v>
      </c>
      <c r="K29" s="12">
        <f t="shared" si="54"/>
        <v>13500</v>
      </c>
      <c r="L29" s="12">
        <f t="shared" si="54"/>
        <v>13500</v>
      </c>
      <c r="M29" s="12">
        <f t="shared" si="54"/>
        <v>13500</v>
      </c>
      <c r="N29" s="12">
        <f t="shared" si="54"/>
        <v>145882.54999999999</v>
      </c>
      <c r="O29" s="12">
        <f t="shared" si="54"/>
        <v>145882.54999999999</v>
      </c>
      <c r="P29" s="12">
        <f t="shared" si="54"/>
        <v>145882.54999999999</v>
      </c>
      <c r="Q29" s="12">
        <v>145882.54999999999</v>
      </c>
      <c r="R29" s="12">
        <f t="shared" si="54"/>
        <v>145882.54999999999</v>
      </c>
      <c r="S29" s="12">
        <f t="shared" si="54"/>
        <v>65907.5</v>
      </c>
      <c r="T29" s="12">
        <f t="shared" si="54"/>
        <v>65907.5</v>
      </c>
      <c r="U29" s="12">
        <f>U30</f>
        <v>65907.5</v>
      </c>
      <c r="V29" s="12">
        <f t="shared" ref="V29:X29" si="55">V30</f>
        <v>65907.5</v>
      </c>
      <c r="W29" s="12"/>
      <c r="X29" s="12">
        <f t="shared" si="55"/>
        <v>0</v>
      </c>
      <c r="Y29" s="12">
        <f>Y30</f>
        <v>65907.5</v>
      </c>
      <c r="Z29" s="12">
        <f t="shared" si="54"/>
        <v>0</v>
      </c>
      <c r="AA29" s="12">
        <f t="shared" si="54"/>
        <v>60000</v>
      </c>
      <c r="AB29" s="12">
        <f t="shared" si="54"/>
        <v>60000</v>
      </c>
      <c r="AC29" s="12">
        <f>AC30</f>
        <v>0</v>
      </c>
      <c r="AD29" s="12">
        <f>AD30</f>
        <v>0</v>
      </c>
      <c r="AE29" s="12">
        <v>30307.4</v>
      </c>
      <c r="AF29" s="12">
        <f>AF30</f>
        <v>30307.4</v>
      </c>
      <c r="AG29" s="12">
        <f t="shared" si="10"/>
        <v>0</v>
      </c>
      <c r="AH29" s="44">
        <f t="shared" si="4"/>
        <v>30307.4</v>
      </c>
      <c r="AI29" s="44">
        <v>0</v>
      </c>
      <c r="AJ29" s="12">
        <f t="shared" si="11"/>
        <v>-29692.6</v>
      </c>
      <c r="AK29" s="44">
        <f t="shared" si="19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-29692.6</v>
      </c>
      <c r="AO29" s="44">
        <f t="shared" si="13"/>
        <v>50.512333333333338</v>
      </c>
      <c r="AP29" s="12">
        <f t="shared" si="14"/>
        <v>-35600.1</v>
      </c>
      <c r="AQ29" s="44">
        <f t="shared" si="36"/>
        <v>45.984751356067214</v>
      </c>
      <c r="AR29" s="12">
        <f t="shared" ref="AR29:AR38" si="56">AF29-M29</f>
        <v>16807.400000000001</v>
      </c>
      <c r="AS29" s="12">
        <f t="shared" ref="AS29:AS38" si="57">IF(M29=0,0,AF29/M29*100)</f>
        <v>224.49925925925928</v>
      </c>
      <c r="AT29" s="34">
        <f t="shared" ref="AT29" si="58">AT30</f>
        <v>30307.4</v>
      </c>
    </row>
    <row r="30" spans="1:47" s="5" customFormat="1" ht="84.75" hidden="1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0</v>
      </c>
      <c r="AE30" s="13">
        <v>30307.4</v>
      </c>
      <c r="AF30" s="13">
        <f t="shared" si="24"/>
        <v>30307.4</v>
      </c>
      <c r="AG30" s="13">
        <f t="shared" si="10"/>
        <v>0</v>
      </c>
      <c r="AH30" s="44">
        <f t="shared" si="4"/>
        <v>30307.4</v>
      </c>
      <c r="AI30" s="44">
        <v>0</v>
      </c>
      <c r="AJ30" s="13">
        <f t="shared" si="11"/>
        <v>-29692.6</v>
      </c>
      <c r="AK30" s="42">
        <f t="shared" si="19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-29692.6</v>
      </c>
      <c r="AO30" s="42">
        <f t="shared" si="13"/>
        <v>50.512333333333338</v>
      </c>
      <c r="AP30" s="13">
        <f t="shared" si="14"/>
        <v>-35600.1</v>
      </c>
      <c r="AQ30" s="42">
        <f t="shared" si="36"/>
        <v>45.984751356067214</v>
      </c>
      <c r="AR30" s="12">
        <f t="shared" si="56"/>
        <v>16807.400000000001</v>
      </c>
      <c r="AS30" s="12">
        <f t="shared" si="57"/>
        <v>224.49925925925928</v>
      </c>
      <c r="AT30" s="31">
        <f>AF30</f>
        <v>30307.4</v>
      </c>
    </row>
    <row r="31" spans="1:47" s="10" customFormat="1" ht="58.5" hidden="1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77</v>
      </c>
      <c r="J31" s="12">
        <f t="shared" ref="J31:R31" si="59">J35</f>
        <v>59624.2</v>
      </c>
      <c r="K31" s="12">
        <f t="shared" si="59"/>
        <v>59624.2</v>
      </c>
      <c r="L31" s="12">
        <f t="shared" si="59"/>
        <v>23095.54</v>
      </c>
      <c r="M31" s="12">
        <f t="shared" si="59"/>
        <v>23095.54</v>
      </c>
      <c r="N31" s="12">
        <f t="shared" si="59"/>
        <v>33317.79</v>
      </c>
      <c r="O31" s="12">
        <f t="shared" si="59"/>
        <v>67233.87</v>
      </c>
      <c r="P31" s="12">
        <f t="shared" si="59"/>
        <v>67233.87</v>
      </c>
      <c r="Q31" s="12">
        <v>67233.87</v>
      </c>
      <c r="R31" s="12">
        <f t="shared" si="59"/>
        <v>67233.87</v>
      </c>
      <c r="S31" s="12">
        <f t="shared" ref="S31:T31" si="60">S32+S33+S34+S35</f>
        <v>1027310</v>
      </c>
      <c r="T31" s="12">
        <f t="shared" si="60"/>
        <v>1126867.72</v>
      </c>
      <c r="U31" s="12">
        <f>U32+U33+U34+U35</f>
        <v>1126867.72</v>
      </c>
      <c r="V31" s="12">
        <f t="shared" ref="V31:Y31" si="61">V32+V33+V34+V35</f>
        <v>240324.16</v>
      </c>
      <c r="W31" s="12">
        <f t="shared" si="61"/>
        <v>0</v>
      </c>
      <c r="X31" s="12">
        <f t="shared" si="61"/>
        <v>0</v>
      </c>
      <c r="Y31" s="12">
        <f t="shared" si="61"/>
        <v>240324.16</v>
      </c>
      <c r="Z31" s="12">
        <f>Z32+Z33+Z34+Z35</f>
        <v>48000</v>
      </c>
      <c r="AA31" s="12">
        <f t="shared" ref="AA31" si="62">AA32+AA33+AA34+AA35</f>
        <v>723990</v>
      </c>
      <c r="AB31" s="12">
        <f t="shared" ref="AB31:AC31" si="63">AB32+AB33+AB34+AB35</f>
        <v>294916.64</v>
      </c>
      <c r="AC31" s="12">
        <f t="shared" si="63"/>
        <v>26851.27</v>
      </c>
      <c r="AD31" s="12">
        <f t="shared" ref="AD31" si="64">AD32+AD33+AD34+AD35</f>
        <v>17524.43</v>
      </c>
      <c r="AE31" s="12">
        <v>336744.64000000007</v>
      </c>
      <c r="AF31" s="12">
        <f t="shared" ref="AF31" si="65">AF32+AF33+AF34+AF35</f>
        <v>354269.07000000007</v>
      </c>
      <c r="AG31" s="12">
        <f t="shared" si="10"/>
        <v>-9326.84</v>
      </c>
      <c r="AH31" s="44">
        <f t="shared" si="4"/>
        <v>306269.07000000007</v>
      </c>
      <c r="AI31" s="44">
        <v>0</v>
      </c>
      <c r="AJ31" s="12">
        <f t="shared" si="11"/>
        <v>-369720.92999999993</v>
      </c>
      <c r="AK31" s="44">
        <f t="shared" si="19"/>
        <v>48.932867857290859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59352.430000000051</v>
      </c>
      <c r="AO31" s="44">
        <f t="shared" si="13"/>
        <v>120.12515468777892</v>
      </c>
      <c r="AP31" s="12">
        <f t="shared" si="14"/>
        <v>113944.91000000006</v>
      </c>
      <c r="AQ31" s="44">
        <f t="shared" si="36"/>
        <v>147.4130066656636</v>
      </c>
      <c r="AR31" s="12">
        <f t="shared" si="56"/>
        <v>331173.53000000009</v>
      </c>
      <c r="AS31" s="12">
        <f t="shared" si="57"/>
        <v>1533.9284987491094</v>
      </c>
      <c r="AT31" s="34">
        <f t="shared" ref="AT31" si="66">AT35</f>
        <v>0</v>
      </c>
    </row>
    <row r="32" spans="1:47" s="10" customFormat="1" ht="58.5" hidden="1" customHeight="1" x14ac:dyDescent="0.3">
      <c r="A32" s="9"/>
      <c r="B32" s="39"/>
      <c r="C32" s="39"/>
      <c r="D32" s="39"/>
      <c r="E32" s="39"/>
      <c r="F32" s="39"/>
      <c r="G32" s="11"/>
      <c r="H32" s="11"/>
      <c r="I32" s="112" t="s">
        <v>86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212936.74</v>
      </c>
      <c r="W32" s="13"/>
      <c r="X32" s="13"/>
      <c r="Y32" s="13">
        <f>V32</f>
        <v>212936.74</v>
      </c>
      <c r="Z32" s="13"/>
      <c r="AA32" s="13">
        <v>649240</v>
      </c>
      <c r="AB32" s="13">
        <v>267000</v>
      </c>
      <c r="AC32" s="113">
        <v>24105.11</v>
      </c>
      <c r="AD32" s="113">
        <v>17524.43</v>
      </c>
      <c r="AE32" s="13">
        <v>279275.68000000005</v>
      </c>
      <c r="AF32" s="13">
        <f t="shared" si="24"/>
        <v>296800.11000000004</v>
      </c>
      <c r="AG32" s="13">
        <f t="shared" si="10"/>
        <v>-6580.68</v>
      </c>
      <c r="AH32" s="44"/>
      <c r="AI32" s="44"/>
      <c r="AJ32" s="13">
        <f t="shared" si="11"/>
        <v>-352439.88999999996</v>
      </c>
      <c r="AK32" s="42">
        <f t="shared" si="19"/>
        <v>45.715006777154834</v>
      </c>
      <c r="AL32" s="12"/>
      <c r="AM32" s="12"/>
      <c r="AN32" s="42">
        <f t="shared" si="12"/>
        <v>29800.110000000044</v>
      </c>
      <c r="AO32" s="42">
        <f t="shared" si="13"/>
        <v>111.16108988764046</v>
      </c>
      <c r="AP32" s="13">
        <f t="shared" si="14"/>
        <v>83863.370000000054</v>
      </c>
      <c r="AQ32" s="42">
        <f t="shared" si="36"/>
        <v>139.38417109231597</v>
      </c>
      <c r="AR32" s="12"/>
      <c r="AS32" s="12"/>
      <c r="AT32" s="34"/>
    </row>
    <row r="33" spans="1:47" s="10" customFormat="1" ht="58.5" hidden="1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87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8001.22</v>
      </c>
      <c r="W33" s="13"/>
      <c r="X33" s="13"/>
      <c r="Y33" s="13">
        <f t="shared" ref="Y33:Y35" si="67">V33</f>
        <v>8001.22</v>
      </c>
      <c r="Z33" s="13"/>
      <c r="AA33" s="13">
        <v>74750</v>
      </c>
      <c r="AB33" s="13">
        <v>0</v>
      </c>
      <c r="AC33" s="113">
        <v>2746.16</v>
      </c>
      <c r="AD33" s="113">
        <v>0</v>
      </c>
      <c r="AE33" s="13">
        <v>35659.960000000006</v>
      </c>
      <c r="AF33" s="13">
        <f t="shared" si="24"/>
        <v>35659.960000000006</v>
      </c>
      <c r="AG33" s="13">
        <f t="shared" si="10"/>
        <v>-2746.16</v>
      </c>
      <c r="AH33" s="44"/>
      <c r="AI33" s="44"/>
      <c r="AJ33" s="13">
        <f t="shared" si="11"/>
        <v>-39090.039999999994</v>
      </c>
      <c r="AK33" s="42">
        <f t="shared" si="19"/>
        <v>47.705632107023419</v>
      </c>
      <c r="AL33" s="12"/>
      <c r="AM33" s="12"/>
      <c r="AN33" s="42">
        <f t="shared" si="12"/>
        <v>35659.960000000006</v>
      </c>
      <c r="AO33" s="42">
        <v>0</v>
      </c>
      <c r="AP33" s="13">
        <f t="shared" si="14"/>
        <v>27658.740000000005</v>
      </c>
      <c r="AQ33" s="42">
        <f t="shared" si="36"/>
        <v>445.68153356613118</v>
      </c>
      <c r="AR33" s="12"/>
      <c r="AS33" s="12"/>
      <c r="AT33" s="34"/>
    </row>
    <row r="34" spans="1:47" s="10" customFormat="1" ht="58.5" hidden="1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88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7"/>
        <v>0</v>
      </c>
      <c r="Z34" s="13"/>
      <c r="AA34" s="13">
        <v>0</v>
      </c>
      <c r="AB34" s="13">
        <v>27916.639999999999</v>
      </c>
      <c r="AC34" s="113">
        <v>0</v>
      </c>
      <c r="AD34" s="113">
        <v>0</v>
      </c>
      <c r="AE34" s="13">
        <v>21809</v>
      </c>
      <c r="AF34" s="13">
        <f t="shared" si="24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116">
        <v>0</v>
      </c>
      <c r="AL34" s="12"/>
      <c r="AM34" s="12"/>
      <c r="AN34" s="42">
        <f t="shared" si="12"/>
        <v>-6107.6399999999994</v>
      </c>
      <c r="AO34" s="42">
        <f t="shared" si="13"/>
        <v>78.1218656686478</v>
      </c>
      <c r="AP34" s="13">
        <f t="shared" si="14"/>
        <v>21809</v>
      </c>
      <c r="AQ34" s="116">
        <v>0</v>
      </c>
      <c r="AR34" s="12"/>
      <c r="AS34" s="12"/>
      <c r="AT34" s="34"/>
    </row>
    <row r="35" spans="1:47" s="5" customFormat="1" ht="58.5" hidden="1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89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19386.2</v>
      </c>
      <c r="W35" s="13"/>
      <c r="X35" s="13"/>
      <c r="Y35" s="13">
        <f t="shared" si="67"/>
        <v>19386.2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4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116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116">
        <v>0</v>
      </c>
      <c r="AP35" s="13">
        <f t="shared" si="14"/>
        <v>-19386.2</v>
      </c>
      <c r="AQ35" s="42">
        <f t="shared" si="36"/>
        <v>0</v>
      </c>
      <c r="AR35" s="12">
        <f t="shared" si="56"/>
        <v>-23095.54</v>
      </c>
      <c r="AS35" s="12">
        <f t="shared" si="57"/>
        <v>0</v>
      </c>
      <c r="AT35" s="31">
        <f>AF35</f>
        <v>0</v>
      </c>
    </row>
    <row r="36" spans="1:47" s="10" customFormat="1" ht="40.5" hidden="1" customHeight="1" x14ac:dyDescent="0.3">
      <c r="A36" s="9"/>
      <c r="B36" s="123" t="s">
        <v>14</v>
      </c>
      <c r="C36" s="123"/>
      <c r="D36" s="123"/>
      <c r="E36" s="123"/>
      <c r="F36" s="123"/>
      <c r="G36" s="123"/>
      <c r="H36" s="123"/>
      <c r="I36" s="123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363110.99</v>
      </c>
      <c r="W36" s="12"/>
      <c r="X36" s="12"/>
      <c r="Y36" s="12">
        <f>V36</f>
        <v>363110.99</v>
      </c>
      <c r="Z36" s="12">
        <v>763440</v>
      </c>
      <c r="AA36" s="12">
        <v>447000</v>
      </c>
      <c r="AB36" s="12">
        <v>371127</v>
      </c>
      <c r="AC36" s="12">
        <v>41869.629999999997</v>
      </c>
      <c r="AD36" s="12">
        <v>16409.97</v>
      </c>
      <c r="AE36" s="12">
        <v>958092.89999999991</v>
      </c>
      <c r="AF36" s="12">
        <f t="shared" si="24"/>
        <v>974502.86999999988</v>
      </c>
      <c r="AG36" s="12">
        <f t="shared" si="10"/>
        <v>-25459.659999999996</v>
      </c>
      <c r="AH36" s="44">
        <f t="shared" si="4"/>
        <v>211062.86999999988</v>
      </c>
      <c r="AI36" s="44">
        <v>0</v>
      </c>
      <c r="AJ36" s="12">
        <f t="shared" si="11"/>
        <v>527502.86999999988</v>
      </c>
      <c r="AK36" s="44">
        <f t="shared" si="19"/>
        <v>218.00959060402681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603375.86999999988</v>
      </c>
      <c r="AO36" s="44">
        <f t="shared" si="13"/>
        <v>262.57935154273332</v>
      </c>
      <c r="AP36" s="12">
        <f t="shared" si="14"/>
        <v>611391.87999999989</v>
      </c>
      <c r="AQ36" s="44">
        <f t="shared" si="36"/>
        <v>268.37603290387875</v>
      </c>
      <c r="AR36" s="12">
        <f t="shared" si="56"/>
        <v>1032277.2299999999</v>
      </c>
      <c r="AS36" s="12">
        <f t="shared" si="57"/>
        <v>-1686.7393598128995</v>
      </c>
      <c r="AT36" s="34">
        <v>745000</v>
      </c>
    </row>
    <row r="37" spans="1:47" s="10" customFormat="1" ht="57.75" hidden="1" customHeight="1" x14ac:dyDescent="0.3">
      <c r="A37" s="9"/>
      <c r="B37" s="123" t="s">
        <v>13</v>
      </c>
      <c r="C37" s="123"/>
      <c r="D37" s="123"/>
      <c r="E37" s="123"/>
      <c r="F37" s="123"/>
      <c r="G37" s="123"/>
      <c r="H37" s="123"/>
      <c r="I37" s="123"/>
      <c r="J37" s="12">
        <f t="shared" ref="J37:N37" si="68">J38+J44</f>
        <v>26875602.490000002</v>
      </c>
      <c r="K37" s="12">
        <f t="shared" si="68"/>
        <v>26875602.490000002</v>
      </c>
      <c r="L37" s="12">
        <f t="shared" si="68"/>
        <v>10496131.460000001</v>
      </c>
      <c r="M37" s="12">
        <f t="shared" si="68"/>
        <v>10496131.460000001</v>
      </c>
      <c r="N37" s="12">
        <f t="shared" si="68"/>
        <v>29133952.98</v>
      </c>
      <c r="O37" s="12">
        <f>O38+O44</f>
        <v>30359839.810000002</v>
      </c>
      <c r="P37" s="12">
        <f t="shared" ref="P37" si="69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70">U38+U44</f>
        <v>34239492.269999996</v>
      </c>
      <c r="V37" s="12">
        <f t="shared" si="70"/>
        <v>12273373.67</v>
      </c>
      <c r="W37" s="12"/>
      <c r="X37" s="12">
        <f t="shared" si="70"/>
        <v>0</v>
      </c>
      <c r="Y37" s="12">
        <f t="shared" si="70"/>
        <v>12273373.67</v>
      </c>
      <c r="Z37" s="12">
        <f>Z38+Z44</f>
        <v>25090600</v>
      </c>
      <c r="AA37" s="12">
        <f>AA38+AA44</f>
        <v>29480458</v>
      </c>
      <c r="AB37" s="12">
        <f>AB38+AB44</f>
        <v>11189314.92</v>
      </c>
      <c r="AC37" s="12">
        <f t="shared" ref="AC37" si="71">AC38+AC44</f>
        <v>1221631.67</v>
      </c>
      <c r="AD37" s="12">
        <f t="shared" ref="AD37" si="72">AD38+AD44</f>
        <v>360351.83</v>
      </c>
      <c r="AE37" s="12">
        <v>12701338.85</v>
      </c>
      <c r="AF37" s="12">
        <f>AF38+AF44</f>
        <v>13061690.68</v>
      </c>
      <c r="AG37" s="12">
        <f t="shared" si="10"/>
        <v>-861279.83999999985</v>
      </c>
      <c r="AH37" s="44">
        <f t="shared" si="4"/>
        <v>-12028909.32</v>
      </c>
      <c r="AI37" s="44">
        <v>0</v>
      </c>
      <c r="AJ37" s="12">
        <f t="shared" si="11"/>
        <v>-16418767.32</v>
      </c>
      <c r="AK37" s="44">
        <f t="shared" si="19"/>
        <v>44.306267833423753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1872375.7599999998</v>
      </c>
      <c r="AO37" s="44">
        <f t="shared" si="13"/>
        <v>116.733604991788</v>
      </c>
      <c r="AP37" s="12">
        <f t="shared" si="14"/>
        <v>788317.00999999978</v>
      </c>
      <c r="AQ37" s="44">
        <f t="shared" si="36"/>
        <v>106.42298549034562</v>
      </c>
      <c r="AR37" s="12">
        <f t="shared" si="56"/>
        <v>2565559.2199999988</v>
      </c>
      <c r="AS37" s="12">
        <f t="shared" si="57"/>
        <v>124.44290289024255</v>
      </c>
      <c r="AT37" s="34">
        <f t="shared" ref="AT37" si="73">AT38+AT44</f>
        <v>13061690.68</v>
      </c>
    </row>
    <row r="38" spans="1:47" s="5" customFormat="1" ht="39" hidden="1" customHeight="1" x14ac:dyDescent="0.3">
      <c r="A38" s="4"/>
      <c r="B38" s="138" t="s">
        <v>60</v>
      </c>
      <c r="C38" s="138"/>
      <c r="D38" s="138"/>
      <c r="E38" s="138"/>
      <c r="F38" s="138"/>
      <c r="G38" s="138"/>
      <c r="H38" s="138"/>
      <c r="I38" s="138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4">S39+S40+S43+S41+S42</f>
        <v>34618925.310000002</v>
      </c>
      <c r="T38" s="13">
        <f t="shared" si="74"/>
        <v>35367638.399999999</v>
      </c>
      <c r="U38" s="13">
        <f>U39+U40+U43</f>
        <v>33924709.399999999</v>
      </c>
      <c r="V38" s="13">
        <f t="shared" ref="V38:AC38" si="75">V39+V40+V43+V41+V42</f>
        <v>12121593.75</v>
      </c>
      <c r="W38" s="13"/>
      <c r="X38" s="13">
        <f t="shared" si="75"/>
        <v>0</v>
      </c>
      <c r="Y38" s="13">
        <f t="shared" si="75"/>
        <v>12121593.75</v>
      </c>
      <c r="Z38" s="13">
        <f t="shared" si="75"/>
        <v>25090600</v>
      </c>
      <c r="AA38" s="13">
        <f t="shared" si="75"/>
        <v>29480458</v>
      </c>
      <c r="AB38" s="13">
        <f t="shared" si="75"/>
        <v>11189314.92</v>
      </c>
      <c r="AC38" s="13">
        <f t="shared" si="75"/>
        <v>1221631.67</v>
      </c>
      <c r="AD38" s="13">
        <f t="shared" ref="AD38" si="76">AD39+AD40+AD43+AD41+AD42</f>
        <v>360351.83</v>
      </c>
      <c r="AE38" s="13">
        <v>12682045.23</v>
      </c>
      <c r="AF38" s="13">
        <f>AF39+AF40+AF43+AF41+AF42</f>
        <v>13042397.060000001</v>
      </c>
      <c r="AG38" s="13">
        <f t="shared" si="10"/>
        <v>-861279.83999999985</v>
      </c>
      <c r="AH38" s="44">
        <f t="shared" si="4"/>
        <v>-12048202.939999999</v>
      </c>
      <c r="AI38" s="44">
        <v>0</v>
      </c>
      <c r="AJ38" s="12">
        <f t="shared" si="11"/>
        <v>-16438060.939999999</v>
      </c>
      <c r="AK38" s="42">
        <f t="shared" si="19"/>
        <v>44.240822377996977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1853082.1400000006</v>
      </c>
      <c r="AO38" s="42">
        <f t="shared" si="13"/>
        <v>116.56117602595816</v>
      </c>
      <c r="AP38" s="13">
        <f t="shared" si="14"/>
        <v>920803.31000000052</v>
      </c>
      <c r="AQ38" s="42">
        <f t="shared" si="36"/>
        <v>107.59638813996716</v>
      </c>
      <c r="AR38" s="12">
        <f t="shared" si="56"/>
        <v>3170713.08</v>
      </c>
      <c r="AS38" s="12">
        <f t="shared" si="57"/>
        <v>132.11927252152574</v>
      </c>
      <c r="AT38" s="31">
        <f>AF38</f>
        <v>13042397.060000001</v>
      </c>
    </row>
    <row r="39" spans="1:47" s="5" customFormat="1" ht="39" hidden="1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90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172746.57</v>
      </c>
      <c r="W39" s="31"/>
      <c r="X39" s="31"/>
      <c r="Y39" s="31">
        <f>V39</f>
        <v>172746.57</v>
      </c>
      <c r="Z39" s="31">
        <v>360000</v>
      </c>
      <c r="AA39" s="31">
        <v>380458</v>
      </c>
      <c r="AB39" s="31">
        <v>112000</v>
      </c>
      <c r="AC39" s="31">
        <v>10380</v>
      </c>
      <c r="AD39" s="31">
        <v>11700</v>
      </c>
      <c r="AE39" s="31">
        <v>147981</v>
      </c>
      <c r="AF39" s="31">
        <f t="shared" si="24"/>
        <v>159681</v>
      </c>
      <c r="AG39" s="31">
        <f t="shared" si="10"/>
        <v>1320</v>
      </c>
      <c r="AH39" s="103">
        <f t="shared" si="4"/>
        <v>-200319</v>
      </c>
      <c r="AI39" s="103">
        <f>AF39/Z39*100</f>
        <v>44.355833333333337</v>
      </c>
      <c r="AJ39" s="31">
        <f t="shared" si="11"/>
        <v>-220777</v>
      </c>
      <c r="AK39" s="103">
        <f t="shared" si="19"/>
        <v>41.970730014876807</v>
      </c>
      <c r="AL39" s="31"/>
      <c r="AM39" s="31"/>
      <c r="AN39" s="103">
        <f t="shared" si="12"/>
        <v>47681</v>
      </c>
      <c r="AO39" s="103">
        <f t="shared" si="13"/>
        <v>142.57232142857143</v>
      </c>
      <c r="AP39" s="31">
        <f t="shared" si="14"/>
        <v>-13065.570000000007</v>
      </c>
      <c r="AQ39" s="103">
        <f t="shared" si="36"/>
        <v>92.43656762620526</v>
      </c>
      <c r="AR39" s="12"/>
      <c r="AS39" s="12"/>
      <c r="AT39" s="31"/>
    </row>
    <row r="40" spans="1:47" s="5" customFormat="1" ht="39" hidden="1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91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7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8">T40</f>
        <v>33218079.799999997</v>
      </c>
      <c r="V40" s="31">
        <v>11375446.18</v>
      </c>
      <c r="W40" s="31"/>
      <c r="X40" s="31"/>
      <c r="Y40" s="31">
        <f>V40</f>
        <v>11375446.18</v>
      </c>
      <c r="Z40" s="31">
        <v>22830600</v>
      </c>
      <c r="AA40" s="31">
        <v>27500000</v>
      </c>
      <c r="AB40" s="31">
        <v>10764600</v>
      </c>
      <c r="AC40" s="31">
        <v>1182988.67</v>
      </c>
      <c r="AD40" s="31">
        <v>307541.83</v>
      </c>
      <c r="AE40" s="31">
        <v>11720881.23</v>
      </c>
      <c r="AF40" s="31">
        <f t="shared" si="24"/>
        <v>12028423.060000001</v>
      </c>
      <c r="AG40" s="31">
        <f t="shared" si="10"/>
        <v>-875446.83999999985</v>
      </c>
      <c r="AH40" s="103">
        <f t="shared" si="4"/>
        <v>-10802176.939999999</v>
      </c>
      <c r="AI40" s="103">
        <f>AF40/Z40*100</f>
        <v>52.685531961490284</v>
      </c>
      <c r="AJ40" s="31">
        <f t="shared" si="11"/>
        <v>-15471576.939999999</v>
      </c>
      <c r="AK40" s="103">
        <f t="shared" si="19"/>
        <v>43.739720218181823</v>
      </c>
      <c r="AL40" s="31"/>
      <c r="AM40" s="31"/>
      <c r="AN40" s="103">
        <f t="shared" si="12"/>
        <v>1263823.0600000005</v>
      </c>
      <c r="AO40" s="103">
        <f t="shared" si="13"/>
        <v>111.74054827861694</v>
      </c>
      <c r="AP40" s="31">
        <f t="shared" si="14"/>
        <v>652976.88000000082</v>
      </c>
      <c r="AQ40" s="103">
        <f t="shared" si="36"/>
        <v>105.74023092956168</v>
      </c>
      <c r="AR40" s="12"/>
      <c r="AS40" s="12"/>
      <c r="AT40" s="31"/>
    </row>
    <row r="41" spans="1:47" s="5" customFormat="1" ht="39" hidden="1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92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550153</v>
      </c>
      <c r="W41" s="31"/>
      <c r="X41" s="31"/>
      <c r="Y41" s="31">
        <f t="shared" ref="Y41:Y42" si="79">V41</f>
        <v>550153</v>
      </c>
      <c r="Z41" s="31">
        <v>1400000</v>
      </c>
      <c r="AA41" s="31">
        <v>1400000</v>
      </c>
      <c r="AB41" s="31">
        <v>222714.92</v>
      </c>
      <c r="AC41" s="31">
        <v>28263</v>
      </c>
      <c r="AD41" s="31">
        <v>38260</v>
      </c>
      <c r="AE41" s="31">
        <v>574683</v>
      </c>
      <c r="AF41" s="31">
        <f t="shared" si="24"/>
        <v>612943</v>
      </c>
      <c r="AG41" s="31">
        <f t="shared" si="10"/>
        <v>9997</v>
      </c>
      <c r="AH41" s="103">
        <f t="shared" si="4"/>
        <v>-787057</v>
      </c>
      <c r="AI41" s="103">
        <f t="shared" ref="AI41:AI42" si="80">AF41/Z41*100</f>
        <v>43.781642857142856</v>
      </c>
      <c r="AJ41" s="31">
        <f t="shared" si="11"/>
        <v>-787057</v>
      </c>
      <c r="AK41" s="103">
        <f t="shared" si="19"/>
        <v>43.781642857142856</v>
      </c>
      <c r="AL41" s="31"/>
      <c r="AM41" s="31"/>
      <c r="AN41" s="103">
        <f t="shared" si="12"/>
        <v>390228.07999999996</v>
      </c>
      <c r="AO41" s="103">
        <f t="shared" si="13"/>
        <v>275.214161673587</v>
      </c>
      <c r="AP41" s="31">
        <f t="shared" si="14"/>
        <v>62790</v>
      </c>
      <c r="AQ41" s="103">
        <f t="shared" si="36"/>
        <v>111.41318869478127</v>
      </c>
      <c r="AR41" s="12"/>
      <c r="AS41" s="12"/>
      <c r="AT41" s="31"/>
    </row>
    <row r="42" spans="1:47" s="5" customFormat="1" ht="39" hidden="1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93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9"/>
        <v>0</v>
      </c>
      <c r="Z42" s="31">
        <v>500000</v>
      </c>
      <c r="AA42" s="31">
        <v>200000</v>
      </c>
      <c r="AB42" s="31">
        <v>90000</v>
      </c>
      <c r="AC42" s="31">
        <v>0</v>
      </c>
      <c r="AD42" s="31">
        <v>0</v>
      </c>
      <c r="AE42" s="31">
        <v>228300</v>
      </c>
      <c r="AF42" s="31">
        <f t="shared" si="24"/>
        <v>228300</v>
      </c>
      <c r="AG42" s="31">
        <f t="shared" si="10"/>
        <v>0</v>
      </c>
      <c r="AH42" s="103">
        <f t="shared" si="4"/>
        <v>-271700</v>
      </c>
      <c r="AI42" s="103">
        <f t="shared" si="80"/>
        <v>45.660000000000004</v>
      </c>
      <c r="AJ42" s="31">
        <f t="shared" si="11"/>
        <v>28300</v>
      </c>
      <c r="AK42" s="103">
        <f t="shared" si="19"/>
        <v>114.15</v>
      </c>
      <c r="AL42" s="31"/>
      <c r="AM42" s="31"/>
      <c r="AN42" s="103">
        <f t="shared" si="12"/>
        <v>138300</v>
      </c>
      <c r="AO42" s="103">
        <f t="shared" si="13"/>
        <v>253.66666666666666</v>
      </c>
      <c r="AP42" s="31">
        <f t="shared" si="14"/>
        <v>228300</v>
      </c>
      <c r="AQ42" s="103">
        <v>0</v>
      </c>
      <c r="AR42" s="12"/>
      <c r="AS42" s="12"/>
      <c r="AT42" s="31"/>
    </row>
    <row r="43" spans="1:47" s="5" customFormat="1" ht="39" hidden="1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101</v>
      </c>
      <c r="J43" s="31"/>
      <c r="K43" s="31"/>
      <c r="L43" s="31"/>
      <c r="M43" s="31"/>
      <c r="N43" s="31"/>
      <c r="O43" s="31">
        <v>0</v>
      </c>
      <c r="P43" s="31">
        <f t="shared" si="77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8"/>
        <v>68665.72</v>
      </c>
      <c r="V43" s="31">
        <v>23248</v>
      </c>
      <c r="W43" s="31"/>
      <c r="X43" s="31"/>
      <c r="Y43" s="31">
        <f>V43</f>
        <v>23248</v>
      </c>
      <c r="Z43" s="31">
        <v>0</v>
      </c>
      <c r="AA43" s="31">
        <v>0</v>
      </c>
      <c r="AB43" s="31">
        <v>0</v>
      </c>
      <c r="AC43" s="31">
        <v>0</v>
      </c>
      <c r="AD43" s="31">
        <v>2850</v>
      </c>
      <c r="AE43" s="31">
        <v>10200</v>
      </c>
      <c r="AF43" s="31">
        <f t="shared" si="24"/>
        <v>13050</v>
      </c>
      <c r="AG43" s="31">
        <f t="shared" si="10"/>
        <v>2850</v>
      </c>
      <c r="AH43" s="103">
        <f t="shared" si="4"/>
        <v>13050</v>
      </c>
      <c r="AI43" s="103">
        <v>0</v>
      </c>
      <c r="AJ43" s="31">
        <f t="shared" si="11"/>
        <v>13050</v>
      </c>
      <c r="AK43" s="103">
        <v>0</v>
      </c>
      <c r="AL43" s="31"/>
      <c r="AM43" s="31"/>
      <c r="AN43" s="103">
        <f t="shared" si="12"/>
        <v>13050</v>
      </c>
      <c r="AO43" s="103">
        <v>0</v>
      </c>
      <c r="AP43" s="31">
        <f t="shared" si="14"/>
        <v>-10198</v>
      </c>
      <c r="AQ43" s="103">
        <f t="shared" si="36"/>
        <v>56.133860977288371</v>
      </c>
      <c r="AR43" s="12"/>
      <c r="AS43" s="12"/>
      <c r="AT43" s="31"/>
    </row>
    <row r="44" spans="1:47" s="5" customFormat="1" ht="28.5" hidden="1" customHeight="1" x14ac:dyDescent="0.3">
      <c r="A44" s="4"/>
      <c r="B44" s="138" t="s">
        <v>12</v>
      </c>
      <c r="C44" s="138"/>
      <c r="D44" s="138"/>
      <c r="E44" s="138"/>
      <c r="F44" s="138"/>
      <c r="G44" s="138"/>
      <c r="H44" s="138"/>
      <c r="I44" s="138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151779.92000000001</v>
      </c>
      <c r="W44" s="13"/>
      <c r="X44" s="13"/>
      <c r="Y44" s="13">
        <f>V44</f>
        <v>151779.92000000001</v>
      </c>
      <c r="Z44" s="13"/>
      <c r="AA44" s="13">
        <v>0</v>
      </c>
      <c r="AB44" s="13">
        <v>0</v>
      </c>
      <c r="AC44" s="13">
        <v>0</v>
      </c>
      <c r="AD44" s="13">
        <v>0</v>
      </c>
      <c r="AE44" s="13">
        <v>19293.62</v>
      </c>
      <c r="AF44" s="13">
        <f t="shared" si="24"/>
        <v>19293.62</v>
      </c>
      <c r="AG44" s="13">
        <f t="shared" si="10"/>
        <v>0</v>
      </c>
      <c r="AH44" s="44">
        <f t="shared" si="4"/>
        <v>19293.62</v>
      </c>
      <c r="AI44" s="44">
        <v>0</v>
      </c>
      <c r="AJ44" s="13">
        <f t="shared" si="11"/>
        <v>19293.62</v>
      </c>
      <c r="AK44" s="116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19293.62</v>
      </c>
      <c r="AO44" s="116">
        <v>0</v>
      </c>
      <c r="AP44" s="13">
        <f t="shared" si="14"/>
        <v>-132486.30000000002</v>
      </c>
      <c r="AQ44" s="114">
        <f t="shared" si="36"/>
        <v>12.711576076730042</v>
      </c>
      <c r="AR44" s="12">
        <f t="shared" ref="AR44:AR59" si="81">AF44-M44</f>
        <v>-605153.86</v>
      </c>
      <c r="AS44" s="12">
        <f t="shared" ref="AS44:AS59" si="82">IF(M44=0,0,AF44/M44*100)</f>
        <v>3.0897106030438297</v>
      </c>
      <c r="AT44" s="31">
        <f>AF44</f>
        <v>19293.62</v>
      </c>
    </row>
    <row r="45" spans="1:47" s="10" customFormat="1" ht="60" hidden="1" customHeight="1" x14ac:dyDescent="0.3">
      <c r="A45" s="9"/>
      <c r="B45" s="123" t="s">
        <v>11</v>
      </c>
      <c r="C45" s="123"/>
      <c r="D45" s="123"/>
      <c r="E45" s="123"/>
      <c r="F45" s="123"/>
      <c r="G45" s="123"/>
      <c r="H45" s="123"/>
      <c r="I45" s="123"/>
      <c r="J45" s="12">
        <f t="shared" ref="J45:AF45" si="83">J46+J47</f>
        <v>4290634.29</v>
      </c>
      <c r="K45" s="12">
        <f t="shared" si="83"/>
        <v>4290634.29</v>
      </c>
      <c r="L45" s="12">
        <f t="shared" si="83"/>
        <v>3198289.13</v>
      </c>
      <c r="M45" s="12">
        <f t="shared" si="83"/>
        <v>3198289.13</v>
      </c>
      <c r="N45" s="12">
        <f t="shared" si="83"/>
        <v>3516712.9</v>
      </c>
      <c r="O45" s="12">
        <f t="shared" si="83"/>
        <v>4112775.06</v>
      </c>
      <c r="P45" s="12">
        <f t="shared" si="83"/>
        <v>4112775.06</v>
      </c>
      <c r="Q45" s="12">
        <v>4112775.06</v>
      </c>
      <c r="R45" s="12">
        <f t="shared" si="83"/>
        <v>4112775.06</v>
      </c>
      <c r="S45" s="12">
        <f t="shared" si="83"/>
        <v>1171237.6000000001</v>
      </c>
      <c r="T45" s="12">
        <f t="shared" si="83"/>
        <v>2218931.5799999996</v>
      </c>
      <c r="U45" s="12">
        <f t="shared" si="83"/>
        <v>2218931.5799999996</v>
      </c>
      <c r="V45" s="12">
        <f t="shared" si="83"/>
        <v>441696.33999999997</v>
      </c>
      <c r="W45" s="12"/>
      <c r="X45" s="12">
        <f t="shared" si="83"/>
        <v>0</v>
      </c>
      <c r="Y45" s="12">
        <f t="shared" si="83"/>
        <v>441696.33999999997</v>
      </c>
      <c r="Z45" s="12">
        <f t="shared" si="83"/>
        <v>132000</v>
      </c>
      <c r="AA45" s="12">
        <f t="shared" si="83"/>
        <v>132000</v>
      </c>
      <c r="AB45" s="12">
        <f t="shared" si="83"/>
        <v>132000</v>
      </c>
      <c r="AC45" s="12">
        <f t="shared" si="83"/>
        <v>0</v>
      </c>
      <c r="AD45" s="12">
        <f t="shared" ref="AD45" si="84">AD46+AD47</f>
        <v>0</v>
      </c>
      <c r="AE45" s="12">
        <v>391172.12</v>
      </c>
      <c r="AF45" s="12">
        <f t="shared" si="83"/>
        <v>391172.12</v>
      </c>
      <c r="AG45" s="12">
        <f t="shared" si="10"/>
        <v>0</v>
      </c>
      <c r="AH45" s="44">
        <f t="shared" si="4"/>
        <v>259172.12</v>
      </c>
      <c r="AI45" s="44">
        <f t="shared" ref="AI45:AI58" si="85">AF45/Z45*100</f>
        <v>296.34251515151516</v>
      </c>
      <c r="AJ45" s="12">
        <f t="shared" si="11"/>
        <v>259172.12</v>
      </c>
      <c r="AK45" s="44">
        <f t="shared" si="19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259172.12</v>
      </c>
      <c r="AO45" s="114">
        <f t="shared" si="13"/>
        <v>296.34251515151516</v>
      </c>
      <c r="AP45" s="12">
        <f t="shared" si="14"/>
        <v>-50524.219999999972</v>
      </c>
      <c r="AQ45" s="44">
        <f t="shared" si="36"/>
        <v>88.561322468734971</v>
      </c>
      <c r="AR45" s="12">
        <f t="shared" si="81"/>
        <v>-2807117.01</v>
      </c>
      <c r="AS45" s="12">
        <f t="shared" si="82"/>
        <v>12.230667838338931</v>
      </c>
      <c r="AT45" s="34">
        <f t="shared" ref="AT45" si="86">AT46+AT47</f>
        <v>391172.12</v>
      </c>
    </row>
    <row r="46" spans="1:47" s="5" customFormat="1" ht="63" hidden="1" customHeight="1" x14ac:dyDescent="0.3">
      <c r="A46" s="4"/>
      <c r="B46" s="138" t="s">
        <v>37</v>
      </c>
      <c r="C46" s="138"/>
      <c r="D46" s="138"/>
      <c r="E46" s="138"/>
      <c r="F46" s="138"/>
      <c r="G46" s="138"/>
      <c r="H46" s="138"/>
      <c r="I46" s="138"/>
      <c r="J46" s="13">
        <v>163530</v>
      </c>
      <c r="K46" s="13">
        <f t="shared" ref="K46:K49" si="87">J46</f>
        <v>163530</v>
      </c>
      <c r="L46" s="13">
        <v>0</v>
      </c>
      <c r="M46" s="13">
        <f t="shared" ref="M46:M49" si="88">L46</f>
        <v>0</v>
      </c>
      <c r="N46" s="13">
        <v>762433</v>
      </c>
      <c r="O46" s="13">
        <v>763713</v>
      </c>
      <c r="P46" s="13">
        <f t="shared" ref="P46:P49" si="89">O46</f>
        <v>763713</v>
      </c>
      <c r="Q46" s="13">
        <v>763713</v>
      </c>
      <c r="R46" s="13">
        <f t="shared" ref="R46:R48" si="90">Q46</f>
        <v>763713</v>
      </c>
      <c r="S46" s="13">
        <v>5228.8</v>
      </c>
      <c r="T46" s="13">
        <v>5228.8</v>
      </c>
      <c r="U46" s="13">
        <f t="shared" ref="U46:U49" si="91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4"/>
        <v>0</v>
      </c>
      <c r="AG46" s="13">
        <f t="shared" si="10"/>
        <v>0</v>
      </c>
      <c r="AH46" s="44">
        <f t="shared" si="4"/>
        <v>-132000</v>
      </c>
      <c r="AI46" s="44">
        <f t="shared" si="85"/>
        <v>0</v>
      </c>
      <c r="AJ46" s="13">
        <f t="shared" si="11"/>
        <v>0</v>
      </c>
      <c r="AK46" s="116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116">
        <v>0</v>
      </c>
      <c r="AP46" s="13">
        <f t="shared" si="14"/>
        <v>-5228.8</v>
      </c>
      <c r="AQ46" s="42">
        <f t="shared" si="36"/>
        <v>0</v>
      </c>
      <c r="AR46" s="12">
        <f t="shared" si="81"/>
        <v>0</v>
      </c>
      <c r="AS46" s="12">
        <f t="shared" si="82"/>
        <v>0</v>
      </c>
      <c r="AT46" s="31">
        <f>AF46</f>
        <v>0</v>
      </c>
    </row>
    <row r="47" spans="1:47" s="5" customFormat="1" ht="65.25" hidden="1" customHeight="1" x14ac:dyDescent="0.3">
      <c r="A47" s="4"/>
      <c r="B47" s="138" t="s">
        <v>10</v>
      </c>
      <c r="C47" s="138"/>
      <c r="D47" s="138"/>
      <c r="E47" s="138"/>
      <c r="F47" s="138"/>
      <c r="G47" s="138"/>
      <c r="H47" s="138"/>
      <c r="I47" s="138"/>
      <c r="J47" s="13">
        <v>4127104.29</v>
      </c>
      <c r="K47" s="13">
        <f t="shared" si="87"/>
        <v>4127104.29</v>
      </c>
      <c r="L47" s="13">
        <v>3198289.13</v>
      </c>
      <c r="M47" s="13">
        <f t="shared" si="88"/>
        <v>3198289.13</v>
      </c>
      <c r="N47" s="13">
        <v>2754279.9</v>
      </c>
      <c r="O47" s="13">
        <v>3349062.06</v>
      </c>
      <c r="P47" s="13">
        <f t="shared" si="89"/>
        <v>3349062.06</v>
      </c>
      <c r="Q47" s="13">
        <v>3349062.06</v>
      </c>
      <c r="R47" s="13">
        <f t="shared" si="90"/>
        <v>3349062.06</v>
      </c>
      <c r="S47" s="13">
        <v>1166008.8</v>
      </c>
      <c r="T47" s="13">
        <v>2213702.7799999998</v>
      </c>
      <c r="U47" s="13">
        <f t="shared" si="91"/>
        <v>2213702.7799999998</v>
      </c>
      <c r="V47" s="13">
        <v>436467.54</v>
      </c>
      <c r="W47" s="13"/>
      <c r="X47" s="13"/>
      <c r="Y47" s="13">
        <f>V47</f>
        <v>436467.54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391172.12</v>
      </c>
      <c r="AF47" s="13">
        <f t="shared" si="24"/>
        <v>391172.12</v>
      </c>
      <c r="AG47" s="13">
        <f t="shared" si="10"/>
        <v>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259172.12</v>
      </c>
      <c r="AO47" s="42">
        <f t="shared" si="13"/>
        <v>296.34251515151516</v>
      </c>
      <c r="AP47" s="13">
        <f t="shared" si="14"/>
        <v>-45295.419999999984</v>
      </c>
      <c r="AQ47" s="42">
        <f t="shared" si="36"/>
        <v>89.622270650413085</v>
      </c>
      <c r="AR47" s="12">
        <f t="shared" si="81"/>
        <v>-2807117.01</v>
      </c>
      <c r="AS47" s="12">
        <f t="shared" si="82"/>
        <v>12.230667838338931</v>
      </c>
      <c r="AT47" s="31">
        <f>AF47</f>
        <v>391172.12</v>
      </c>
      <c r="AU47" s="86"/>
    </row>
    <row r="48" spans="1:47" s="10" customFormat="1" ht="39.75" hidden="1" customHeight="1" x14ac:dyDescent="0.3">
      <c r="A48" s="9"/>
      <c r="B48" s="123" t="s">
        <v>9</v>
      </c>
      <c r="C48" s="123"/>
      <c r="D48" s="123"/>
      <c r="E48" s="123"/>
      <c r="F48" s="123"/>
      <c r="G48" s="123"/>
      <c r="H48" s="123"/>
      <c r="I48" s="123"/>
      <c r="J48" s="12">
        <v>2338187.02</v>
      </c>
      <c r="K48" s="12">
        <f t="shared" si="87"/>
        <v>2338187.02</v>
      </c>
      <c r="L48" s="12">
        <v>974257.27</v>
      </c>
      <c r="M48" s="12">
        <f t="shared" si="88"/>
        <v>974257.27</v>
      </c>
      <c r="N48" s="12">
        <v>2799320.03</v>
      </c>
      <c r="O48" s="12">
        <v>3055345.14</v>
      </c>
      <c r="P48" s="12">
        <f t="shared" si="89"/>
        <v>3055345.14</v>
      </c>
      <c r="Q48" s="12">
        <v>3055345.14</v>
      </c>
      <c r="R48" s="12">
        <f t="shared" si="90"/>
        <v>3055345.14</v>
      </c>
      <c r="S48" s="12">
        <v>2239812</v>
      </c>
      <c r="T48" s="12">
        <v>2273274.8299999996</v>
      </c>
      <c r="U48" s="12">
        <f t="shared" si="91"/>
        <v>2273274.8299999996</v>
      </c>
      <c r="V48" s="12">
        <v>486189.23</v>
      </c>
      <c r="W48" s="12"/>
      <c r="X48" s="12"/>
      <c r="Y48" s="12">
        <f>V48</f>
        <v>486189.23</v>
      </c>
      <c r="Z48" s="12">
        <v>1249470</v>
      </c>
      <c r="AA48" s="12">
        <v>1147080</v>
      </c>
      <c r="AB48" s="12">
        <v>351576.23</v>
      </c>
      <c r="AC48" s="12">
        <v>20157.27</v>
      </c>
      <c r="AD48" s="12">
        <v>20000</v>
      </c>
      <c r="AE48" s="12">
        <v>387349.99</v>
      </c>
      <c r="AF48" s="12">
        <f t="shared" si="24"/>
        <v>407349.99</v>
      </c>
      <c r="AG48" s="12">
        <f t="shared" si="10"/>
        <v>-157.27000000000044</v>
      </c>
      <c r="AH48" s="44">
        <f t="shared" si="4"/>
        <v>-842120.01</v>
      </c>
      <c r="AI48" s="44">
        <f t="shared" si="85"/>
        <v>32.601822372686016</v>
      </c>
      <c r="AJ48" s="12">
        <f t="shared" si="11"/>
        <v>-739730.01</v>
      </c>
      <c r="AK48" s="44">
        <f t="shared" si="19"/>
        <v>35.511907626320749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55773.760000000009</v>
      </c>
      <c r="AO48" s="44">
        <f t="shared" si="13"/>
        <v>115.86391662485261</v>
      </c>
      <c r="AP48" s="12">
        <f t="shared" si="14"/>
        <v>-78839.239999999991</v>
      </c>
      <c r="AQ48" s="44">
        <f t="shared" si="36"/>
        <v>83.78424795629472</v>
      </c>
      <c r="AR48" s="12">
        <f t="shared" si="81"/>
        <v>-566907.28</v>
      </c>
      <c r="AS48" s="12">
        <f t="shared" si="82"/>
        <v>41.811336958255389</v>
      </c>
      <c r="AT48" s="34">
        <f>AF48</f>
        <v>407349.99</v>
      </c>
    </row>
    <row r="49" spans="1:48" s="22" customFormat="1" ht="30" hidden="1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7"/>
        <v>256536.06</v>
      </c>
      <c r="L49" s="16">
        <v>109317.03</v>
      </c>
      <c r="M49" s="16">
        <f t="shared" si="88"/>
        <v>109317.03</v>
      </c>
      <c r="N49" s="16">
        <v>210726.7</v>
      </c>
      <c r="O49" s="25">
        <f>221100.64+0.02+606.42</f>
        <v>221707.08000000002</v>
      </c>
      <c r="P49" s="16">
        <f t="shared" si="89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91"/>
        <v>278352.34000000003</v>
      </c>
      <c r="V49" s="25">
        <v>73427.08</v>
      </c>
      <c r="W49" s="25"/>
      <c r="X49" s="25"/>
      <c r="Y49" s="16">
        <f>V49</f>
        <v>73427.08</v>
      </c>
      <c r="Z49" s="25">
        <v>336190</v>
      </c>
      <c r="AA49" s="25">
        <v>159900</v>
      </c>
      <c r="AB49" s="25">
        <v>46237</v>
      </c>
      <c r="AC49" s="25">
        <v>7032.62</v>
      </c>
      <c r="AD49" s="25">
        <v>5000</v>
      </c>
      <c r="AE49" s="25">
        <v>55721.200000000004</v>
      </c>
      <c r="AF49" s="25">
        <f t="shared" si="24"/>
        <v>60721.200000000004</v>
      </c>
      <c r="AG49" s="16">
        <f t="shared" si="10"/>
        <v>-2032.62</v>
      </c>
      <c r="AH49" s="44">
        <f t="shared" si="4"/>
        <v>-275468.79999999999</v>
      </c>
      <c r="AI49" s="44">
        <f t="shared" si="85"/>
        <v>18.061572325173266</v>
      </c>
      <c r="AJ49" s="12">
        <f t="shared" si="11"/>
        <v>-99178.799999999988</v>
      </c>
      <c r="AK49" s="42">
        <f t="shared" si="19"/>
        <v>37.974484052532837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14484.200000000004</v>
      </c>
      <c r="AO49" s="42">
        <f t="shared" si="13"/>
        <v>131.32599433354241</v>
      </c>
      <c r="AP49" s="13">
        <f t="shared" si="14"/>
        <v>-12705.879999999997</v>
      </c>
      <c r="AQ49" s="42">
        <f t="shared" si="36"/>
        <v>82.695920905475205</v>
      </c>
      <c r="AR49" s="12">
        <f t="shared" si="81"/>
        <v>-48595.829999999994</v>
      </c>
      <c r="AS49" s="12">
        <f t="shared" si="82"/>
        <v>55.545965710923554</v>
      </c>
      <c r="AT49" s="31">
        <f>AF49</f>
        <v>60721.200000000004</v>
      </c>
      <c r="AV49" s="25"/>
    </row>
    <row r="50" spans="1:48" s="10" customFormat="1" ht="36.75" hidden="1" customHeight="1" x14ac:dyDescent="0.3">
      <c r="A50" s="9"/>
      <c r="B50" s="123" t="s">
        <v>7</v>
      </c>
      <c r="C50" s="123"/>
      <c r="D50" s="123"/>
      <c r="E50" s="123"/>
      <c r="F50" s="123"/>
      <c r="G50" s="123"/>
      <c r="H50" s="123"/>
      <c r="I50" s="123"/>
      <c r="J50" s="12">
        <f t="shared" ref="J50:P50" si="92">J51+J53</f>
        <v>1294662.3799999999</v>
      </c>
      <c r="K50" s="12">
        <f t="shared" si="92"/>
        <v>4769167.24</v>
      </c>
      <c r="L50" s="12">
        <f t="shared" si="92"/>
        <v>389278.05</v>
      </c>
      <c r="M50" s="12">
        <f t="shared" si="92"/>
        <v>2983608.31</v>
      </c>
      <c r="N50" s="12">
        <f t="shared" si="92"/>
        <v>2895802</v>
      </c>
      <c r="O50" s="12">
        <f t="shared" si="92"/>
        <v>4075696.4</v>
      </c>
      <c r="P50" s="12">
        <f t="shared" si="92"/>
        <v>4075696.4</v>
      </c>
      <c r="Q50" s="12">
        <v>4075696.4</v>
      </c>
      <c r="R50" s="12">
        <f t="shared" ref="R50" si="93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4">U51+U52+U53</f>
        <v>5495063.3199999994</v>
      </c>
      <c r="V50" s="12">
        <f t="shared" si="94"/>
        <v>3953406.21</v>
      </c>
      <c r="W50" s="12">
        <f t="shared" si="94"/>
        <v>0</v>
      </c>
      <c r="X50" s="12">
        <f t="shared" si="94"/>
        <v>0</v>
      </c>
      <c r="Y50" s="12">
        <f t="shared" si="94"/>
        <v>3953406.21</v>
      </c>
      <c r="Z50" s="12">
        <f t="shared" ref="Z50:AB50" si="95">Z51+Z53</f>
        <v>2715689.65</v>
      </c>
      <c r="AA50" s="12">
        <f t="shared" si="95"/>
        <v>3474504.86</v>
      </c>
      <c r="AB50" s="12">
        <f t="shared" si="95"/>
        <v>3315870.27</v>
      </c>
      <c r="AC50" s="12">
        <f>AC51+AC52+AC53</f>
        <v>49825.42</v>
      </c>
      <c r="AD50" s="12">
        <f>AD51+AD52+AD53</f>
        <v>-3358078.08</v>
      </c>
      <c r="AE50" s="12">
        <v>6055534.6600000001</v>
      </c>
      <c r="AF50" s="12">
        <f>AF51+AF52+AF53</f>
        <v>2697456.58</v>
      </c>
      <c r="AG50" s="12">
        <f t="shared" si="10"/>
        <v>-3407903.5</v>
      </c>
      <c r="AH50" s="44">
        <f t="shared" si="4"/>
        <v>-18233.069999999832</v>
      </c>
      <c r="AI50" s="44">
        <f t="shared" si="85"/>
        <v>99.328602589032968</v>
      </c>
      <c r="AJ50" s="12">
        <f t="shared" si="11"/>
        <v>-777048.2799999998</v>
      </c>
      <c r="AK50" s="44">
        <f t="shared" si="19"/>
        <v>77.63571181189829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-618413.68999999994</v>
      </c>
      <c r="AO50" s="44">
        <f t="shared" si="13"/>
        <v>81.349882846894374</v>
      </c>
      <c r="AP50" s="12">
        <f t="shared" si="14"/>
        <v>-1255949.6299999999</v>
      </c>
      <c r="AQ50" s="44">
        <f t="shared" si="36"/>
        <v>68.231202075235259</v>
      </c>
      <c r="AR50" s="12">
        <f t="shared" si="81"/>
        <v>-286151.73</v>
      </c>
      <c r="AS50" s="12">
        <f t="shared" si="82"/>
        <v>90.409205892042849</v>
      </c>
      <c r="AT50" s="34">
        <f t="shared" ref="AT50" si="96">AT51+AT53</f>
        <v>4372653.32</v>
      </c>
    </row>
    <row r="51" spans="1:48" s="5" customFormat="1" ht="23.25" hidden="1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78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-16479.14</v>
      </c>
      <c r="W51" s="13"/>
      <c r="X51" s="13"/>
      <c r="Y51" s="13">
        <f>V51</f>
        <v>-16479.14</v>
      </c>
      <c r="Z51" s="13">
        <v>0</v>
      </c>
      <c r="AA51" s="13">
        <v>0</v>
      </c>
      <c r="AB51" s="13">
        <v>0</v>
      </c>
      <c r="AC51" s="113">
        <v>829.4</v>
      </c>
      <c r="AD51" s="113">
        <v>-3483728.08</v>
      </c>
      <c r="AE51" s="13">
        <v>3500829.4</v>
      </c>
      <c r="AF51" s="13">
        <f t="shared" si="24"/>
        <v>17101.319999999832</v>
      </c>
      <c r="AG51" s="16">
        <f t="shared" si="10"/>
        <v>-3484557.48</v>
      </c>
      <c r="AH51" s="44">
        <f t="shared" si="4"/>
        <v>17101.319999999832</v>
      </c>
      <c r="AI51" s="44">
        <v>0</v>
      </c>
      <c r="AJ51" s="13">
        <f t="shared" si="11"/>
        <v>17101.319999999832</v>
      </c>
      <c r="AK51" s="116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17101.319999999832</v>
      </c>
      <c r="AO51" s="116">
        <v>0</v>
      </c>
      <c r="AP51" s="13">
        <f t="shared" si="14"/>
        <v>33580.459999999832</v>
      </c>
      <c r="AQ51" s="42">
        <f t="shared" si="36"/>
        <v>-103.775561103309</v>
      </c>
      <c r="AR51" s="12">
        <f t="shared" si="81"/>
        <v>-372176.73000000016</v>
      </c>
      <c r="AS51" s="12">
        <f t="shared" si="82"/>
        <v>4.3930861244295256</v>
      </c>
      <c r="AT51" s="31">
        <f>AF51</f>
        <v>17101.319999999832</v>
      </c>
    </row>
    <row r="52" spans="1:48" s="5" customFormat="1" ht="39.75" hidden="1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79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7">T52</f>
        <v>155286.9</v>
      </c>
      <c r="V52" s="13">
        <v>77986.899999999994</v>
      </c>
      <c r="W52" s="13"/>
      <c r="X52" s="13"/>
      <c r="Y52" s="13">
        <f t="shared" ref="Y52:Y53" si="98">V52</f>
        <v>77986.899999999994</v>
      </c>
      <c r="Z52" s="13"/>
      <c r="AA52" s="13">
        <v>0</v>
      </c>
      <c r="AB52" s="13">
        <v>0</v>
      </c>
      <c r="AC52" s="113">
        <v>2700</v>
      </c>
      <c r="AD52" s="113">
        <v>50</v>
      </c>
      <c r="AE52" s="13">
        <v>85975</v>
      </c>
      <c r="AF52" s="13">
        <f t="shared" si="24"/>
        <v>86025</v>
      </c>
      <c r="AG52" s="16">
        <f t="shared" si="10"/>
        <v>-2650</v>
      </c>
      <c r="AH52" s="44"/>
      <c r="AI52" s="44"/>
      <c r="AJ52" s="13">
        <f t="shared" si="11"/>
        <v>86025</v>
      </c>
      <c r="AK52" s="116">
        <v>0</v>
      </c>
      <c r="AL52" s="13"/>
      <c r="AM52" s="13"/>
      <c r="AN52" s="42">
        <f t="shared" si="12"/>
        <v>86025</v>
      </c>
      <c r="AO52" s="116">
        <v>0</v>
      </c>
      <c r="AP52" s="13">
        <f t="shared" si="14"/>
        <v>8038.1000000000058</v>
      </c>
      <c r="AQ52" s="44">
        <f t="shared" si="36"/>
        <v>110.3069874555855</v>
      </c>
      <c r="AR52" s="12"/>
      <c r="AS52" s="12"/>
      <c r="AT52" s="31"/>
    </row>
    <row r="53" spans="1:48" s="5" customFormat="1" ht="28.5" hidden="1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3474504.86</v>
      </c>
      <c r="L53" s="13">
        <v>0</v>
      </c>
      <c r="M53" s="37">
        <f>AF53</f>
        <v>2594330.2600000002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7"/>
        <v>5381046.0499999998</v>
      </c>
      <c r="V53" s="13">
        <v>3891898.45</v>
      </c>
      <c r="W53" s="13"/>
      <c r="X53" s="13"/>
      <c r="Y53" s="13">
        <f t="shared" si="98"/>
        <v>3891898.45</v>
      </c>
      <c r="Z53" s="13">
        <v>2715689.65</v>
      </c>
      <c r="AA53" s="13">
        <v>3474504.86</v>
      </c>
      <c r="AB53" s="13">
        <v>3315870.27</v>
      </c>
      <c r="AC53" s="13">
        <v>46296.02</v>
      </c>
      <c r="AD53" s="13">
        <v>125600</v>
      </c>
      <c r="AE53" s="13">
        <v>2468730.2600000002</v>
      </c>
      <c r="AF53" s="13">
        <f t="shared" si="24"/>
        <v>2594330.2600000002</v>
      </c>
      <c r="AG53" s="16">
        <f t="shared" si="10"/>
        <v>79303.98000000001</v>
      </c>
      <c r="AH53" s="44">
        <f t="shared" si="4"/>
        <v>-121359.38999999966</v>
      </c>
      <c r="AI53" s="44">
        <f t="shared" si="85"/>
        <v>95.531176031105034</v>
      </c>
      <c r="AJ53" s="13">
        <f t="shared" si="11"/>
        <v>-880174.59999999963</v>
      </c>
      <c r="AK53" s="42">
        <f t="shared" si="19"/>
        <v>74.667625015208642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-721540.00999999978</v>
      </c>
      <c r="AO53" s="42">
        <f t="shared" si="13"/>
        <v>78.239799773590065</v>
      </c>
      <c r="AP53" s="13">
        <f t="shared" si="14"/>
        <v>-1297568.19</v>
      </c>
      <c r="AQ53" s="42">
        <f t="shared" si="36"/>
        <v>66.659762409782303</v>
      </c>
      <c r="AR53" s="12">
        <f t="shared" si="81"/>
        <v>0</v>
      </c>
      <c r="AS53" s="12">
        <f t="shared" si="82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23" t="s">
        <v>1</v>
      </c>
      <c r="C54" s="123"/>
      <c r="D54" s="123"/>
      <c r="E54" s="123"/>
      <c r="F54" s="123"/>
      <c r="G54" s="123"/>
      <c r="H54" s="123"/>
      <c r="I54" s="123"/>
      <c r="J54" s="12">
        <f t="shared" ref="J54:R54" si="99">J55+J56+J57+J58+J59+J61+J62</f>
        <v>1731743649.9200001</v>
      </c>
      <c r="K54" s="12">
        <f t="shared" si="99"/>
        <v>1726065816.5200002</v>
      </c>
      <c r="L54" s="26">
        <f t="shared" si="99"/>
        <v>754564037.68999994</v>
      </c>
      <c r="M54" s="26">
        <f t="shared" si="99"/>
        <v>750829669.28999996</v>
      </c>
      <c r="N54" s="12">
        <f t="shared" si="99"/>
        <v>1949401304.4499998</v>
      </c>
      <c r="O54" s="12">
        <f t="shared" si="99"/>
        <v>1942881158.9100001</v>
      </c>
      <c r="P54" s="12">
        <f t="shared" si="99"/>
        <v>1942881158.9100001</v>
      </c>
      <c r="Q54" s="12">
        <v>1942881158.9100001</v>
      </c>
      <c r="R54" s="12">
        <f t="shared" si="99"/>
        <v>1942881158.9100001</v>
      </c>
      <c r="S54" s="12">
        <f t="shared" ref="S54:AB54" si="100">S55+S56+S57+S58+S59+S60+S61+S62</f>
        <v>2058217674.4300001</v>
      </c>
      <c r="T54" s="12">
        <f t="shared" si="100"/>
        <v>2039899297.8500004</v>
      </c>
      <c r="U54" s="12">
        <f t="shared" si="100"/>
        <v>2039899297.8500004</v>
      </c>
      <c r="V54" s="12">
        <f t="shared" si="100"/>
        <v>635570850.7299999</v>
      </c>
      <c r="W54" s="12">
        <f t="shared" si="100"/>
        <v>0</v>
      </c>
      <c r="X54" s="12">
        <f t="shared" si="100"/>
        <v>0</v>
      </c>
      <c r="Y54" s="12">
        <f t="shared" si="100"/>
        <v>635570850.7299999</v>
      </c>
      <c r="Z54" s="12">
        <f t="shared" si="100"/>
        <v>1741578685.6100001</v>
      </c>
      <c r="AA54" s="12">
        <f t="shared" si="100"/>
        <v>1749602512.1399999</v>
      </c>
      <c r="AB54" s="12">
        <f t="shared" si="100"/>
        <v>549778592.63</v>
      </c>
      <c r="AC54" s="12">
        <f>AC55+AC56+AC57+AC58+AC59+AC60+AC61+AC62</f>
        <v>27187614.739999998</v>
      </c>
      <c r="AD54" s="12">
        <f>AD55+AD56+AD57+AD58+AD59+AD60+AD61+AD62</f>
        <v>37167185.460000001</v>
      </c>
      <c r="AE54" s="12">
        <v>443623968.02999997</v>
      </c>
      <c r="AF54" s="12">
        <f>AF55+AF56+AF57+AF58+AF59+AF60+AF61+AF62</f>
        <v>480791153.49000001</v>
      </c>
      <c r="AG54" s="12">
        <f t="shared" si="10"/>
        <v>9979570.7200000025</v>
      </c>
      <c r="AH54" s="44">
        <f t="shared" si="4"/>
        <v>-1260787532.1200001</v>
      </c>
      <c r="AI54" s="44">
        <f t="shared" si="85"/>
        <v>27.606628254157783</v>
      </c>
      <c r="AJ54" s="12">
        <f t="shared" si="11"/>
        <v>-1268811358.6499999</v>
      </c>
      <c r="AK54" s="44">
        <f t="shared" si="19"/>
        <v>27.480021899484335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-68987439.139999986</v>
      </c>
      <c r="AO54" s="44">
        <f t="shared" si="13"/>
        <v>87.451777849337176</v>
      </c>
      <c r="AP54" s="12">
        <f t="shared" si="14"/>
        <v>-154779697.23999989</v>
      </c>
      <c r="AQ54" s="44">
        <f t="shared" si="36"/>
        <v>75.647137205517836</v>
      </c>
      <c r="AR54" s="12">
        <f t="shared" si="81"/>
        <v>-270038515.79999995</v>
      </c>
      <c r="AS54" s="12">
        <f t="shared" si="82"/>
        <v>64.034650354806317</v>
      </c>
      <c r="AT54" s="34" t="e">
        <f t="shared" ref="AT54" si="101">AT55+AT56+AT57+AT58+AT59+AT61+AT62</f>
        <v>#REF!</v>
      </c>
    </row>
    <row r="55" spans="1:48" s="10" customFormat="1" ht="38.25" customHeight="1" x14ac:dyDescent="0.3">
      <c r="A55" s="9"/>
      <c r="B55" s="123" t="s">
        <v>6</v>
      </c>
      <c r="C55" s="123"/>
      <c r="D55" s="123"/>
      <c r="E55" s="123"/>
      <c r="F55" s="123"/>
      <c r="G55" s="123"/>
      <c r="H55" s="123"/>
      <c r="I55" s="123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2">O55</f>
        <v>436509000</v>
      </c>
      <c r="Q55" s="12">
        <v>436509000</v>
      </c>
      <c r="R55" s="12">
        <f t="shared" ref="R55:R62" si="103">Q55</f>
        <v>436509000</v>
      </c>
      <c r="S55" s="12">
        <v>543552380</v>
      </c>
      <c r="T55" s="12">
        <v>543552380</v>
      </c>
      <c r="U55" s="12">
        <f t="shared" ref="U55:U62" si="104">T55</f>
        <v>543552380</v>
      </c>
      <c r="V55" s="12">
        <v>211094000</v>
      </c>
      <c r="W55" s="12"/>
      <c r="X55" s="12"/>
      <c r="Y55" s="12">
        <f t="shared" ref="Y55:Y62" si="105">V55</f>
        <v>211094000</v>
      </c>
      <c r="Z55" s="12">
        <v>543282000</v>
      </c>
      <c r="AA55" s="12">
        <v>504630000</v>
      </c>
      <c r="AB55" s="34">
        <v>168210000</v>
      </c>
      <c r="AC55" s="12">
        <v>16595168</v>
      </c>
      <c r="AD55" s="12">
        <v>0</v>
      </c>
      <c r="AE55" s="12">
        <v>168210000</v>
      </c>
      <c r="AF55" s="12">
        <f t="shared" si="24"/>
        <v>168210000</v>
      </c>
      <c r="AG55" s="12">
        <f t="shared" si="10"/>
        <v>-16595168</v>
      </c>
      <c r="AH55" s="44">
        <f t="shared" si="4"/>
        <v>-375072000</v>
      </c>
      <c r="AI55" s="44">
        <f t="shared" si="85"/>
        <v>30.96182093277524</v>
      </c>
      <c r="AJ55" s="12">
        <f t="shared" si="11"/>
        <v>-336420000</v>
      </c>
      <c r="AK55" s="44">
        <f t="shared" si="19"/>
        <v>33.333333333333336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0</v>
      </c>
      <c r="AO55" s="44">
        <f t="shared" si="13"/>
        <v>100</v>
      </c>
      <c r="AP55" s="12">
        <f t="shared" si="14"/>
        <v>-42884000</v>
      </c>
      <c r="AQ55" s="44">
        <f t="shared" si="36"/>
        <v>79.684879721830086</v>
      </c>
      <c r="AR55" s="12">
        <f t="shared" si="81"/>
        <v>-33279000</v>
      </c>
      <c r="AS55" s="12">
        <f t="shared" si="82"/>
        <v>83.483465598618295</v>
      </c>
      <c r="AT55" s="34">
        <v>436509000</v>
      </c>
    </row>
    <row r="56" spans="1:48" s="10" customFormat="1" ht="43.5" customHeight="1" x14ac:dyDescent="0.3">
      <c r="A56" s="9"/>
      <c r="B56" s="123" t="s">
        <v>5</v>
      </c>
      <c r="C56" s="123"/>
      <c r="D56" s="123"/>
      <c r="E56" s="123"/>
      <c r="F56" s="123"/>
      <c r="G56" s="123"/>
      <c r="H56" s="123"/>
      <c r="I56" s="123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2"/>
        <v>266680542.02000001</v>
      </c>
      <c r="Q56" s="12">
        <v>266680542.02000001</v>
      </c>
      <c r="R56" s="12">
        <f t="shared" si="103"/>
        <v>266680542.02000001</v>
      </c>
      <c r="S56" s="12">
        <v>448087921.25</v>
      </c>
      <c r="T56" s="12">
        <v>432403468.83000004</v>
      </c>
      <c r="U56" s="12">
        <f t="shared" si="104"/>
        <v>432403468.83000004</v>
      </c>
      <c r="V56" s="12">
        <v>35200448.210000001</v>
      </c>
      <c r="W56" s="12"/>
      <c r="X56" s="12"/>
      <c r="Y56" s="12">
        <f t="shared" si="105"/>
        <v>35200448.210000001</v>
      </c>
      <c r="Z56" s="12">
        <v>164450526.09999999</v>
      </c>
      <c r="AA56" s="12">
        <v>339768105.60000002</v>
      </c>
      <c r="AB56" s="12">
        <v>43217447.090000004</v>
      </c>
      <c r="AC56" s="12">
        <v>9434231.3599999994</v>
      </c>
      <c r="AD56" s="12">
        <v>9670771.75</v>
      </c>
      <c r="AE56" s="12">
        <v>27725680.539999999</v>
      </c>
      <c r="AF56" s="12">
        <f t="shared" si="24"/>
        <v>37396452.289999999</v>
      </c>
      <c r="AG56" s="12">
        <f t="shared" si="10"/>
        <v>236540.3900000006</v>
      </c>
      <c r="AH56" s="44">
        <f t="shared" si="4"/>
        <v>-127054073.81</v>
      </c>
      <c r="AI56" s="44">
        <f t="shared" si="85"/>
        <v>22.740244848629889</v>
      </c>
      <c r="AJ56" s="12">
        <f t="shared" si="11"/>
        <v>-302371653.31</v>
      </c>
      <c r="AK56" s="44">
        <f t="shared" si="19"/>
        <v>11.006463430097776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-5820994.8000000045</v>
      </c>
      <c r="AO56" s="44">
        <f t="shared" si="13"/>
        <v>86.530914730160191</v>
      </c>
      <c r="AP56" s="12">
        <f t="shared" si="14"/>
        <v>2196004.0799999982</v>
      </c>
      <c r="AQ56" s="44">
        <f t="shared" si="36"/>
        <v>106.23856851736376</v>
      </c>
      <c r="AR56" s="12">
        <f t="shared" si="81"/>
        <v>-30855731.809999995</v>
      </c>
      <c r="AS56" s="12">
        <f t="shared" si="82"/>
        <v>54.791583277699097</v>
      </c>
      <c r="AT56" s="34" t="e">
        <f>#REF!</f>
        <v>#REF!</v>
      </c>
    </row>
    <row r="57" spans="1:48" s="10" customFormat="1" ht="45" customHeight="1" x14ac:dyDescent="0.3">
      <c r="A57" s="9"/>
      <c r="B57" s="123" t="s">
        <v>4</v>
      </c>
      <c r="C57" s="123"/>
      <c r="D57" s="123"/>
      <c r="E57" s="123"/>
      <c r="F57" s="123"/>
      <c r="G57" s="123"/>
      <c r="H57" s="123"/>
      <c r="I57" s="123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2"/>
        <v>1213354064.45</v>
      </c>
      <c r="Q57" s="12">
        <v>1213354064.45</v>
      </c>
      <c r="R57" s="12">
        <f t="shared" si="103"/>
        <v>1213354064.45</v>
      </c>
      <c r="S57" s="12">
        <v>1052485113.04</v>
      </c>
      <c r="T57" s="12">
        <v>1050017221.74</v>
      </c>
      <c r="U57" s="12">
        <f t="shared" si="104"/>
        <v>1050017221.74</v>
      </c>
      <c r="V57" s="12">
        <v>388372879.43000001</v>
      </c>
      <c r="W57" s="12"/>
      <c r="X57" s="12"/>
      <c r="Y57" s="12">
        <f t="shared" si="105"/>
        <v>388372879.43000001</v>
      </c>
      <c r="Z57" s="12">
        <v>1032066181.7</v>
      </c>
      <c r="AA57" s="12">
        <v>877046455.03999996</v>
      </c>
      <c r="AB57" s="12">
        <v>331189104.76999998</v>
      </c>
      <c r="AC57" s="12">
        <v>1012393.66</v>
      </c>
      <c r="AD57" s="12">
        <v>23996136.23</v>
      </c>
      <c r="AE57" s="12">
        <v>242984761.49000001</v>
      </c>
      <c r="AF57" s="12">
        <f t="shared" si="24"/>
        <v>266980897.72</v>
      </c>
      <c r="AG57" s="12">
        <f t="shared" si="10"/>
        <v>22983742.57</v>
      </c>
      <c r="AH57" s="44">
        <f t="shared" si="4"/>
        <v>-765085283.98000002</v>
      </c>
      <c r="AI57" s="44">
        <f t="shared" si="85"/>
        <v>25.86858308642902</v>
      </c>
      <c r="AJ57" s="12">
        <f t="shared" si="11"/>
        <v>-610065557.31999993</v>
      </c>
      <c r="AK57" s="44">
        <f t="shared" si="19"/>
        <v>30.440907227408339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-64208207.049999982</v>
      </c>
      <c r="AO57" s="44">
        <f t="shared" si="13"/>
        <v>80.612826290106838</v>
      </c>
      <c r="AP57" s="12">
        <f t="shared" si="14"/>
        <v>-121391981.71000001</v>
      </c>
      <c r="AQ57" s="44">
        <f t="shared" si="36"/>
        <v>68.743445245671538</v>
      </c>
      <c r="AR57" s="12">
        <f t="shared" si="81"/>
        <v>-217517784.40000001</v>
      </c>
      <c r="AS57" s="12">
        <f t="shared" si="82"/>
        <v>55.104566343046216</v>
      </c>
      <c r="AT57" s="34" t="e">
        <f>#REF!</f>
        <v>#REF!</v>
      </c>
    </row>
    <row r="58" spans="1:48" s="10" customFormat="1" ht="27" customHeight="1" x14ac:dyDescent="0.3">
      <c r="A58" s="9"/>
      <c r="B58" s="123" t="s">
        <v>3</v>
      </c>
      <c r="C58" s="123"/>
      <c r="D58" s="123"/>
      <c r="E58" s="123"/>
      <c r="F58" s="123"/>
      <c r="G58" s="123"/>
      <c r="H58" s="123"/>
      <c r="I58" s="123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2"/>
        <v>31536396.41</v>
      </c>
      <c r="Q58" s="12">
        <v>31536396.41</v>
      </c>
      <c r="R58" s="12">
        <f t="shared" si="103"/>
        <v>31536396.41</v>
      </c>
      <c r="S58" s="12">
        <v>14687976.27</v>
      </c>
      <c r="T58" s="12">
        <v>14514443.27</v>
      </c>
      <c r="U58" s="12">
        <f t="shared" si="104"/>
        <v>14514443.27</v>
      </c>
      <c r="V58" s="12">
        <v>1561516.12</v>
      </c>
      <c r="W58" s="12"/>
      <c r="X58" s="12"/>
      <c r="Y58" s="12">
        <f t="shared" si="105"/>
        <v>1561516.12</v>
      </c>
      <c r="Z58" s="12">
        <v>1779977.81</v>
      </c>
      <c r="AA58" s="12">
        <v>28157951.5</v>
      </c>
      <c r="AB58" s="12">
        <v>7162040.7699999996</v>
      </c>
      <c r="AC58" s="12">
        <v>0</v>
      </c>
      <c r="AD58" s="12">
        <v>3500000</v>
      </c>
      <c r="AE58" s="12">
        <v>7161434.29</v>
      </c>
      <c r="AF58" s="12">
        <f t="shared" si="24"/>
        <v>10661434.289999999</v>
      </c>
      <c r="AG58" s="12">
        <f t="shared" si="10"/>
        <v>3500000</v>
      </c>
      <c r="AH58" s="44">
        <f t="shared" si="4"/>
        <v>8881456.4799999986</v>
      </c>
      <c r="AI58" s="44">
        <f t="shared" si="85"/>
        <v>598.96444945007477</v>
      </c>
      <c r="AJ58" s="12">
        <f t="shared" si="11"/>
        <v>-17496517.210000001</v>
      </c>
      <c r="AK58" s="44">
        <f t="shared" si="19"/>
        <v>37.86296133793681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3499393.5199999996</v>
      </c>
      <c r="AO58" s="44">
        <f t="shared" si="13"/>
        <v>148.86028483191669</v>
      </c>
      <c r="AP58" s="12">
        <f t="shared" si="14"/>
        <v>9099918.1699999981</v>
      </c>
      <c r="AQ58" s="44">
        <f t="shared" si="36"/>
        <v>682.76171814351801</v>
      </c>
      <c r="AR58" s="12">
        <f t="shared" si="81"/>
        <v>10132033.859999999</v>
      </c>
      <c r="AS58" s="12">
        <f t="shared" si="82"/>
        <v>2013.8695939480062</v>
      </c>
      <c r="AT58" s="34" t="e">
        <f>#REF!</f>
        <v>#REF!</v>
      </c>
    </row>
    <row r="59" spans="1:48" s="10" customFormat="1" ht="39" customHeight="1" x14ac:dyDescent="0.3">
      <c r="A59" s="9"/>
      <c r="B59" s="123" t="s">
        <v>2</v>
      </c>
      <c r="C59" s="123"/>
      <c r="D59" s="123"/>
      <c r="E59" s="123"/>
      <c r="F59" s="123"/>
      <c r="G59" s="123"/>
      <c r="H59" s="123"/>
      <c r="I59" s="123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2"/>
        <v>18244.099999999999</v>
      </c>
      <c r="Q59" s="12">
        <v>18244.099999999999</v>
      </c>
      <c r="R59" s="12">
        <f t="shared" si="103"/>
        <v>18244.099999999999</v>
      </c>
      <c r="S59" s="12">
        <v>102600.69</v>
      </c>
      <c r="T59" s="12">
        <v>110100.69</v>
      </c>
      <c r="U59" s="12">
        <f t="shared" si="104"/>
        <v>110100.69</v>
      </c>
      <c r="V59" s="12">
        <v>2696.92</v>
      </c>
      <c r="W59" s="12"/>
      <c r="X59" s="12"/>
      <c r="Y59" s="12">
        <f t="shared" si="105"/>
        <v>2696.92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4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115">
        <v>0</v>
      </c>
      <c r="AP59" s="12">
        <f t="shared" si="14"/>
        <v>-2696.92</v>
      </c>
      <c r="AQ59" s="44">
        <f t="shared" si="36"/>
        <v>0</v>
      </c>
      <c r="AR59" s="12">
        <f t="shared" si="81"/>
        <v>-15145.1</v>
      </c>
      <c r="AS59" s="12">
        <f t="shared" si="82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5"/>
        <v>0</v>
      </c>
      <c r="Z60" s="12">
        <v>0</v>
      </c>
      <c r="AA60" s="12">
        <v>0</v>
      </c>
      <c r="AB60" s="12">
        <v>0</v>
      </c>
      <c r="AC60" s="12">
        <v>161821.72</v>
      </c>
      <c r="AD60" s="12">
        <v>277.48</v>
      </c>
      <c r="AE60" s="12">
        <v>-277.48000000001048</v>
      </c>
      <c r="AF60" s="12">
        <f t="shared" si="24"/>
        <v>-1.0459189070388675E-11</v>
      </c>
      <c r="AG60" s="12">
        <f>AD60-AC60</f>
        <v>-161544.24</v>
      </c>
      <c r="AH60" s="44">
        <f t="shared" si="4"/>
        <v>-1.0459189070388675E-11</v>
      </c>
      <c r="AI60" s="44">
        <v>0</v>
      </c>
      <c r="AJ60" s="12">
        <f t="shared" si="11"/>
        <v>-1.0459189070388675E-11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-1.0459189070388675E-11</v>
      </c>
      <c r="AO60" s="44">
        <v>0</v>
      </c>
      <c r="AP60" s="12">
        <f>AF60-Y60</f>
        <v>-1.0459189070388675E-11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2"/>
        <v>280404</v>
      </c>
      <c r="Q61" s="12">
        <v>280404</v>
      </c>
      <c r="R61" s="12">
        <f t="shared" si="103"/>
        <v>280404</v>
      </c>
      <c r="S61" s="12">
        <v>0</v>
      </c>
      <c r="T61" s="12">
        <v>0.13999999999941792</v>
      </c>
      <c r="U61" s="12">
        <f t="shared" si="104"/>
        <v>0.13999999999941792</v>
      </c>
      <c r="V61" s="12">
        <v>0.14000000000000001</v>
      </c>
      <c r="W61" s="12"/>
      <c r="X61" s="12"/>
      <c r="Y61" s="12">
        <f t="shared" si="105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4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6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23" t="s">
        <v>0</v>
      </c>
      <c r="C62" s="123"/>
      <c r="D62" s="123"/>
      <c r="E62" s="123"/>
      <c r="F62" s="123"/>
      <c r="G62" s="123"/>
      <c r="H62" s="123"/>
      <c r="I62" s="123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2"/>
        <v>-5497492.0700000003</v>
      </c>
      <c r="Q62" s="12">
        <v>-5497492.0700000003</v>
      </c>
      <c r="R62" s="12">
        <f t="shared" si="103"/>
        <v>-5497492.0700000003</v>
      </c>
      <c r="S62" s="12">
        <v>-698316.82</v>
      </c>
      <c r="T62" s="12">
        <v>-698316.82000000018</v>
      </c>
      <c r="U62" s="12">
        <f t="shared" si="104"/>
        <v>-698316.82000000018</v>
      </c>
      <c r="V62" s="12">
        <v>-660690.09</v>
      </c>
      <c r="W62" s="12"/>
      <c r="X62" s="12"/>
      <c r="Y62" s="12">
        <f t="shared" si="105"/>
        <v>-660690.09</v>
      </c>
      <c r="Z62" s="12">
        <v>0</v>
      </c>
      <c r="AA62" s="12">
        <v>0</v>
      </c>
      <c r="AB62" s="12">
        <v>0</v>
      </c>
      <c r="AC62" s="12">
        <v>-16000</v>
      </c>
      <c r="AD62" s="12">
        <v>0</v>
      </c>
      <c r="AE62" s="12">
        <v>-2457630.8099999977</v>
      </c>
      <c r="AF62" s="12">
        <f t="shared" si="24"/>
        <v>-2457630.8099999977</v>
      </c>
      <c r="AG62" s="12">
        <f t="shared" si="10"/>
        <v>16000</v>
      </c>
      <c r="AH62" s="44">
        <f t="shared" si="4"/>
        <v>-2457630.8099999977</v>
      </c>
      <c r="AI62" s="44">
        <v>0</v>
      </c>
      <c r="AJ62" s="12">
        <f t="shared" si="11"/>
        <v>-2457630.8099999977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-2457630.8099999977</v>
      </c>
      <c r="AO62" s="12">
        <v>0</v>
      </c>
      <c r="AP62" s="12">
        <f t="shared" si="14"/>
        <v>-1796940.7199999979</v>
      </c>
      <c r="AQ62" s="44">
        <f t="shared" si="36"/>
        <v>371.97936630167976</v>
      </c>
      <c r="AR62" s="12">
        <f>AF62-M62</f>
        <v>1497111.6500000022</v>
      </c>
      <c r="AS62" s="12">
        <f>IF(M62=0,0,AF62/M62*100)</f>
        <v>62.143890148538219</v>
      </c>
      <c r="AT62" s="34">
        <f>AF62</f>
        <v>-2457630.8099999977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6">J54+J7</f>
        <v>2092393430.8699999</v>
      </c>
      <c r="K63" s="13">
        <f t="shared" si="106"/>
        <v>2071644024.1451344</v>
      </c>
      <c r="L63" s="28">
        <f t="shared" si="106"/>
        <v>881017080.54999995</v>
      </c>
      <c r="M63" s="26">
        <f t="shared" si="106"/>
        <v>872401570.47554314</v>
      </c>
      <c r="N63" s="12">
        <f t="shared" si="106"/>
        <v>2309803775.2699995</v>
      </c>
      <c r="O63" s="12">
        <f t="shared" si="106"/>
        <v>2328450949.6999998</v>
      </c>
      <c r="P63" s="12">
        <f t="shared" si="106"/>
        <v>2327457942.815587</v>
      </c>
      <c r="Q63" s="12">
        <f t="shared" si="106"/>
        <v>2328450949.6999998</v>
      </c>
      <c r="R63" s="12">
        <f t="shared" si="106"/>
        <v>2324234116.085587</v>
      </c>
      <c r="S63" s="12">
        <f t="shared" si="106"/>
        <v>2468054121.4099998</v>
      </c>
      <c r="T63" s="12">
        <f t="shared" si="106"/>
        <v>2473502940.9500003</v>
      </c>
      <c r="U63" s="12">
        <f t="shared" si="106"/>
        <v>2610269494.995842</v>
      </c>
      <c r="V63" s="12">
        <f t="shared" si="106"/>
        <v>718118098.66999984</v>
      </c>
      <c r="W63" s="12"/>
      <c r="X63" s="12">
        <f t="shared" ref="X63:AF63" si="107">X54+X7</f>
        <v>0</v>
      </c>
      <c r="Y63" s="12">
        <f t="shared" si="107"/>
        <v>737235345.42597985</v>
      </c>
      <c r="Z63" s="12">
        <f t="shared" si="107"/>
        <v>2141993785.2600002</v>
      </c>
      <c r="AA63" s="12">
        <f t="shared" si="107"/>
        <v>2327708082.5099998</v>
      </c>
      <c r="AB63" s="12">
        <f t="shared" si="107"/>
        <v>715866957.79999995</v>
      </c>
      <c r="AC63" s="12">
        <f t="shared" si="107"/>
        <v>30823184.68</v>
      </c>
      <c r="AD63" s="12">
        <f t="shared" si="107"/>
        <v>34791836.490000002</v>
      </c>
      <c r="AE63" s="12">
        <f t="shared" si="107"/>
        <v>586539849.46000004</v>
      </c>
      <c r="AF63" s="12">
        <f t="shared" si="107"/>
        <v>621331685.95000005</v>
      </c>
      <c r="AG63" s="12">
        <f t="shared" si="10"/>
        <v>3968651.8100000024</v>
      </c>
      <c r="AH63" s="12">
        <f t="shared" si="4"/>
        <v>-1520662099.3100002</v>
      </c>
      <c r="AI63" s="12">
        <f>AF63/Z63*100</f>
        <v>29.007165670864975</v>
      </c>
      <c r="AJ63" s="12">
        <f>AF63-AA63</f>
        <v>-1706376396.5599997</v>
      </c>
      <c r="AK63" s="12">
        <f t="shared" si="19"/>
        <v>26.692852536732591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-94535271.849999905</v>
      </c>
      <c r="AO63" s="12">
        <f t="shared" si="13"/>
        <v>86.794295948436371</v>
      </c>
      <c r="AP63" s="12">
        <f t="shared" si="14"/>
        <v>-115903659.4759798</v>
      </c>
      <c r="AQ63" s="12">
        <f t="shared" si="36"/>
        <v>84.278607883482593</v>
      </c>
      <c r="AR63" s="12">
        <f>AF63-M63</f>
        <v>-251069884.52554309</v>
      </c>
      <c r="AS63" s="12">
        <f>IF(M63=0,0,AF63/M63*100)</f>
        <v>71.220835332897707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73</v>
      </c>
      <c r="Z64" s="93"/>
      <c r="AA64" s="93"/>
      <c r="AB64" s="94">
        <v>1276217451.79</v>
      </c>
      <c r="AC64" s="93"/>
      <c r="AD64" s="108"/>
      <c r="AE64" s="109">
        <v>1091597698.1400001</v>
      </c>
      <c r="AF64" s="110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737235345.42597973</v>
      </c>
      <c r="W65" s="94"/>
      <c r="X65" s="101"/>
      <c r="Y65" s="94"/>
      <c r="Z65" s="94"/>
      <c r="AA65" s="94"/>
      <c r="AB65" s="94">
        <v>1581194711.4100001</v>
      </c>
      <c r="AC65" s="95"/>
      <c r="AD65" s="109"/>
      <c r="AE65" s="111">
        <v>586539849.46000004</v>
      </c>
      <c r="AF65" s="109">
        <v>1229277981.27</v>
      </c>
      <c r="AG65" s="95"/>
      <c r="AJ65" s="89"/>
      <c r="AK65" s="139"/>
      <c r="AL65" s="139"/>
      <c r="AM65" s="139"/>
      <c r="AN65" s="139"/>
      <c r="AO65" s="139"/>
      <c r="AP65" s="139"/>
    </row>
    <row r="66" spans="1:44" s="78" customFormat="1" ht="18" customHeight="1" x14ac:dyDescent="0.3">
      <c r="I66" s="78" t="s">
        <v>76</v>
      </c>
      <c r="O66" s="78" t="s">
        <v>40</v>
      </c>
      <c r="Q66" s="88"/>
      <c r="V66" s="88">
        <f>V63-V10+Y10</f>
        <v>737235345.42597973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R4:AS4"/>
    <mergeCell ref="B7:I7"/>
    <mergeCell ref="B10:I10"/>
    <mergeCell ref="B11:I11"/>
    <mergeCell ref="B13:I13"/>
    <mergeCell ref="AN4:AO4"/>
    <mergeCell ref="AP4:AQ4"/>
    <mergeCell ref="X4:X5"/>
    <mergeCell ref="AA4:AB5"/>
    <mergeCell ref="B14:I14"/>
    <mergeCell ref="AG4:AG5"/>
    <mergeCell ref="AH4:AI4"/>
    <mergeCell ref="AJ4:AK4"/>
    <mergeCell ref="AL4:AM4"/>
    <mergeCell ref="Y4:Y5"/>
    <mergeCell ref="Z4:Z5"/>
    <mergeCell ref="AC4:AD4"/>
    <mergeCell ref="AE4:AE5"/>
    <mergeCell ref="AF4:AF5"/>
    <mergeCell ref="R4:R5"/>
    <mergeCell ref="S4:S5"/>
    <mergeCell ref="T4:T5"/>
    <mergeCell ref="U4:U5"/>
    <mergeCell ref="V4:V5"/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</mergeCells>
  <pageMargins left="0.39370078740157483" right="0.39370078740157483" top="0.78740157480314965" bottom="0.39370078740157483" header="0.39370078740157483" footer="0.39370078740157483"/>
  <pageSetup paperSize="9" scale="49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2024-04-19T14:48:13Z</cp:lastPrinted>
  <dcterms:created xsi:type="dcterms:W3CDTF">2018-12-30T09:36:16Z</dcterms:created>
  <dcterms:modified xsi:type="dcterms:W3CDTF">2024-04-27T07:10:41Z</dcterms:modified>
</cp:coreProperties>
</file>